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workbookPr filterPrivacy="1" codeName="ThisWorkbook" defaultThemeVersion="166925"/>
  <xr:revisionPtr revIDLastSave="1" documentId="8_{DCE74C4B-AB16-4A43-92E0-3125AA66289B}" xr6:coauthVersionLast="47" xr6:coauthVersionMax="47" xr10:uidLastSave="{5FDE53C3-65AF-470A-8D3D-41579B98E37B}"/>
  <bookViews>
    <workbookView xWindow="-28920" yWindow="2595" windowWidth="29040" windowHeight="15720" tabRatio="797" xr2:uid="{31B22DD5-645A-42E2-9CD0-B7A6E321AFAA}"/>
  </bookViews>
  <sheets>
    <sheet name="Cover" sheetId="2" r:id="rId1"/>
    <sheet name="Contents" sheetId="1" r:id="rId2"/>
    <sheet name="1" sheetId="3" r:id="rId3"/>
    <sheet name="2" sheetId="35" r:id="rId4"/>
    <sheet name="3" sheetId="4" r:id="rId5"/>
    <sheet name="4" sheetId="6" r:id="rId6"/>
    <sheet name="5" sheetId="7" r:id="rId7"/>
    <sheet name="6" sheetId="9" r:id="rId8"/>
    <sheet name="7" sheetId="22" r:id="rId9"/>
    <sheet name="8" sheetId="16" r:id="rId10"/>
    <sheet name="9" sheetId="12" r:id="rId11"/>
    <sheet name="10" sheetId="28" r:id="rId12"/>
    <sheet name="11" sheetId="20" r:id="rId13"/>
    <sheet name="12" sheetId="8" r:id="rId14"/>
    <sheet name="13" sheetId="10" r:id="rId15"/>
    <sheet name="14" sheetId="25" r:id="rId16"/>
    <sheet name="15" sheetId="11" r:id="rId17"/>
    <sheet name="16" sheetId="17" r:id="rId18"/>
    <sheet name="17" sheetId="18" r:id="rId19"/>
    <sheet name="18" sheetId="29" r:id="rId20"/>
    <sheet name="19" sheetId="21" r:id="rId21"/>
    <sheet name="20" sheetId="26" r:id="rId22"/>
    <sheet name="21" sheetId="34" r:id="rId23"/>
    <sheet name="22" sheetId="32" r:id="rId24"/>
    <sheet name="23" sheetId="33" r:id="rId25"/>
    <sheet name="2(a)" sheetId="36" r:id="rId26"/>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xlnm._FilterDatabase" localSheetId="3" hidden="1">'2'!$C$5:$AF$27</definedName>
    <definedName name="_xlnm._FilterDatabase" localSheetId="25" hidden="1">'2(a)'!$C$5:$AF$27</definedName>
    <definedName name="ID" localSheetId="2" hidden="1">"652158fc-6c07-4b03-b3fe-7682c49d6180"</definedName>
    <definedName name="ID" localSheetId="11" hidden="1">"567f7dba-3c87-4574-aaf2-6e13bc30336f"</definedName>
    <definedName name="ID" localSheetId="12" hidden="1">"02ba2acd-ac94-415d-9b08-626267be438f"</definedName>
    <definedName name="ID" localSheetId="13" hidden="1">"a33407ca-e339-47dc-97d9-62b388016c87"</definedName>
    <definedName name="ID" localSheetId="14" hidden="1">"0b2c83e4-4e15-4c4d-a620-cc7f11eb3459"</definedName>
    <definedName name="ID" localSheetId="15" hidden="1">"d96bbbc9-d02a-48cf-a0d1-192de29c2a92"</definedName>
    <definedName name="ID" localSheetId="16" hidden="1">"f1c8f6ab-e301-4863-8504-7c0dfe17ded0"</definedName>
    <definedName name="ID" localSheetId="17" hidden="1">"92ca4d33-0626-42fe-bbbd-b37979b3334a"</definedName>
    <definedName name="ID" localSheetId="18" hidden="1">"a4d7be43-a47a-4b17-bb83-9d58b1ae0c1b"</definedName>
    <definedName name="ID" localSheetId="19" hidden="1">"093facdb-53bf-4f9c-ab65-9fa38aa43912"</definedName>
    <definedName name="ID" localSheetId="20" hidden="1">"79aa1254-41ce-4cb5-8775-9e26bc9174bc"</definedName>
    <definedName name="ID" localSheetId="3" hidden="1">"41dc2790-d6a3-4d2e-950d-11ecca003141"</definedName>
    <definedName name="ID" localSheetId="25" hidden="1">"cabab168-f72e-48ff-bf79-84289e598c63"</definedName>
    <definedName name="ID" localSheetId="21" hidden="1">"d1c45088-4adc-421e-8449-53b90b3a55f6"</definedName>
    <definedName name="ID" localSheetId="22" hidden="1">"0f23a8b3-dfe1-41f2-be06-28b1da337d7a"</definedName>
    <definedName name="ID" localSheetId="23" hidden="1">"cb975670-8c1c-4b7b-b048-5f28336831b9"</definedName>
    <definedName name="ID" localSheetId="24" hidden="1">"d1b518db-8079-4241-a640-56cb7d14f852"</definedName>
    <definedName name="ID" localSheetId="4" hidden="1">"dace994d-36b8-40d9-8285-28b29ac7cdb8"</definedName>
    <definedName name="ID" localSheetId="5" hidden="1">"4a8d4dad-a846-4fa8-835f-5ef37724fd63"</definedName>
    <definedName name="ID" localSheetId="6" hidden="1">"4d2936ef-05df-4fc2-b8b4-083ebc9ad15f"</definedName>
    <definedName name="ID" localSheetId="7" hidden="1">"ae291022-f1c1-4210-a547-532fdc066a36"</definedName>
    <definedName name="ID" localSheetId="8" hidden="1">"8359e8a9-8805-4f05-8dec-a1cec4c11f5b"</definedName>
    <definedName name="ID" localSheetId="9" hidden="1">"1b63b681-8e53-4a6e-bbe1-04a71ef90536"</definedName>
    <definedName name="ID" localSheetId="10" hidden="1">"6ca7bacc-da64-4c99-872a-cabb3deb557e"</definedName>
    <definedName name="ID" localSheetId="1" hidden="1">"1f8f27a7-3e2d-4609-a11f-6f2541bc7438"</definedName>
    <definedName name="ID" localSheetId="0" hidden="1">"ce2a05a6-a524-43b0-8ed5-9afbdbd7ecdf"</definedName>
    <definedName name="Pal_Workbook_GUID" hidden="1">"6S1JHEHENLE191V518WIWCLK"</definedName>
    <definedName name="_xlnm.Print_Area" localSheetId="2">'1'!$B$2:$L$57</definedName>
    <definedName name="_xlnm.Print_Area" localSheetId="11">'10'!$B$2:$Q$31</definedName>
    <definedName name="_xlnm.Print_Area" localSheetId="12">'11'!$B$2:$J$50</definedName>
    <definedName name="_xlnm.Print_Area" localSheetId="13">'12'!$B$2:$H$41</definedName>
    <definedName name="_xlnm.Print_Area" localSheetId="14">'13'!$B$2:$H$23</definedName>
    <definedName name="_xlnm.Print_Area" localSheetId="15">'14'!$B$2:$N$56</definedName>
    <definedName name="_xlnm.Print_Area" localSheetId="16">'15'!$B$2:$H$38</definedName>
    <definedName name="_xlnm.Print_Area" localSheetId="18">'17'!$B$2:$J$39</definedName>
    <definedName name="_xlnm.Print_Area" localSheetId="19">'18'!$B$2:$J$18</definedName>
    <definedName name="_xlnm.Print_Area" localSheetId="20">'19'!$B$2:$K$34</definedName>
    <definedName name="_xlnm.Print_Area" localSheetId="3">'2'!$B$2:$AG$53</definedName>
    <definedName name="_xlnm.Print_Area" localSheetId="25">'2(a)'!$B$2:$AG$53</definedName>
    <definedName name="_xlnm.Print_Area" localSheetId="21">'20'!$B$2:$N$37</definedName>
    <definedName name="_xlnm.Print_Area" localSheetId="22">'21'!$B$2:$K$87</definedName>
    <definedName name="_xlnm.Print_Area" localSheetId="23">'22'!$B$2:$I$28</definedName>
    <definedName name="_xlnm.Print_Area" localSheetId="24">'23'!$B$2:$I$34</definedName>
    <definedName name="_xlnm.Print_Area" localSheetId="4">'3'!$B$2:$R$41</definedName>
    <definedName name="_xlnm.Print_Area" localSheetId="5">'4'!$B$2:$M$58</definedName>
    <definedName name="_xlnm.Print_Area" localSheetId="6">'5'!$B$2:$AB$59</definedName>
    <definedName name="_xlnm.Print_Area" localSheetId="7">'6'!$B$2:$I$20</definedName>
    <definedName name="_xlnm.Print_Area" localSheetId="8">'7'!$B$2:$J$20</definedName>
    <definedName name="_xlnm.Print_Area" localSheetId="9">'8'!$B$2:$L$37</definedName>
    <definedName name="_xlnm.Print_Area" localSheetId="10">'9'!$B$2:$I$32</definedName>
    <definedName name="_xlnm.Print_Area" localSheetId="1">Contents!$B$2:$D$46</definedName>
    <definedName name="_xlnm.Print_Area" localSheetId="0">Cover!$A$1:$I$21</definedName>
    <definedName name="RiskAfterRecalcMacro" hidden="1">""</definedName>
    <definedName name="RiskAfterSimMacro" hidden="1">""</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3" i="7" l="1"/>
  <c r="AI53" i="7"/>
  <c r="AJ52" i="7"/>
  <c r="AI52" i="7"/>
  <c r="AJ50" i="7"/>
  <c r="AI50" i="7"/>
  <c r="AD50" i="7"/>
  <c r="AJ49" i="7"/>
  <c r="AI49" i="7"/>
  <c r="AD49" i="7"/>
  <c r="AJ48" i="7"/>
  <c r="AJ47" i="7"/>
  <c r="AI48" i="7"/>
  <c r="AI47" i="7"/>
  <c r="AJ44" i="7"/>
  <c r="AJ45" i="7"/>
  <c r="M11" i="26"/>
  <c r="D18" i="10" l="1"/>
  <c r="K18" i="10"/>
  <c r="M16" i="26" l="1"/>
  <c r="M30" i="26" s="1"/>
  <c r="L16" i="26"/>
  <c r="K38" i="7" l="1"/>
  <c r="E25" i="8" l="1"/>
  <c r="J34" i="16" l="1"/>
  <c r="I34" i="16"/>
  <c r="J33" i="16"/>
  <c r="H14" i="22"/>
  <c r="K34" i="16" l="1"/>
  <c r="G14" i="22"/>
  <c r="H18" i="18"/>
  <c r="E19" i="10" l="1"/>
  <c r="E21" i="10" s="1"/>
  <c r="I27" i="21"/>
  <c r="I25" i="21"/>
  <c r="I23" i="21"/>
  <c r="I22" i="21"/>
  <c r="I21" i="21"/>
  <c r="I20" i="21"/>
  <c r="I19" i="21"/>
  <c r="I18" i="21"/>
  <c r="I16" i="21"/>
  <c r="I15" i="21"/>
  <c r="I14" i="21"/>
  <c r="I13" i="21"/>
  <c r="I12" i="21"/>
  <c r="I11" i="21"/>
  <c r="G23" i="9"/>
  <c r="G22" i="9"/>
  <c r="E22" i="10" l="1"/>
  <c r="E18" i="9" l="1"/>
  <c r="F18" i="9"/>
  <c r="J19" i="34" l="1"/>
  <c r="F15" i="18" l="1"/>
  <c r="E25" i="11" l="1"/>
  <c r="F25" i="11"/>
  <c r="F17" i="9" l="1"/>
  <c r="G26" i="7" l="1"/>
  <c r="H13" i="17" l="1"/>
  <c r="Z45" i="7" l="1"/>
  <c r="Y45" i="7"/>
  <c r="H18" i="9" l="1"/>
  <c r="AA45" i="7"/>
  <c r="M45" i="7"/>
  <c r="H17" i="9" l="1"/>
  <c r="G25" i="7" l="1"/>
  <c r="G24" i="7"/>
  <c r="Q40" i="7" l="1"/>
  <c r="G18" i="18"/>
  <c r="H13" i="9" l="1"/>
  <c r="G19" i="9"/>
  <c r="H14" i="9"/>
  <c r="H15" i="9"/>
  <c r="H16" i="9"/>
  <c r="H19" i="9" l="1"/>
  <c r="F23" i="9" l="1"/>
  <c r="E23" i="9"/>
  <c r="K47" i="7" s="1"/>
  <c r="L47" i="7" l="1"/>
  <c r="Z47" i="7" s="1"/>
  <c r="F16" i="9"/>
  <c r="F15" i="9"/>
  <c r="F13" i="9"/>
  <c r="F14" i="9"/>
  <c r="E17" i="9"/>
  <c r="E13" i="9"/>
  <c r="E15" i="9"/>
  <c r="E14" i="9"/>
  <c r="E16" i="9"/>
  <c r="Y47" i="7" l="1"/>
  <c r="AA47" i="7" s="1"/>
  <c r="M47" i="7"/>
  <c r="F19" i="9"/>
  <c r="L49" i="7" s="1"/>
  <c r="E19" i="9"/>
  <c r="K49" i="7" s="1"/>
  <c r="M49" i="7" l="1"/>
  <c r="I17" i="18"/>
  <c r="H10" i="29" l="1"/>
  <c r="I40" i="20" l="1"/>
  <c r="G23" i="7" l="1"/>
  <c r="G22" i="7"/>
  <c r="G21" i="7"/>
  <c r="G20" i="7"/>
  <c r="G19" i="7"/>
  <c r="G18" i="7"/>
  <c r="J45" i="6" l="1"/>
  <c r="J30" i="7" l="1"/>
  <c r="J31" i="7"/>
  <c r="J28" i="7"/>
  <c r="J29" i="7"/>
  <c r="E27" i="21"/>
  <c r="F27" i="21"/>
  <c r="G27" i="21"/>
  <c r="G25" i="21"/>
  <c r="F25" i="21"/>
  <c r="E25" i="21"/>
  <c r="E18" i="21"/>
  <c r="F18" i="21"/>
  <c r="G18" i="21"/>
  <c r="E19" i="21"/>
  <c r="F19" i="21"/>
  <c r="G19" i="21"/>
  <c r="E20" i="21"/>
  <c r="F20" i="21"/>
  <c r="G20" i="21"/>
  <c r="E21" i="21"/>
  <c r="F21" i="21"/>
  <c r="G21" i="21"/>
  <c r="E22" i="21"/>
  <c r="F22" i="21"/>
  <c r="G22" i="21"/>
  <c r="E23" i="21"/>
  <c r="F23" i="21"/>
  <c r="G23" i="21"/>
  <c r="E11" i="21"/>
  <c r="F11" i="21"/>
  <c r="G11" i="21"/>
  <c r="E12" i="21"/>
  <c r="F12" i="21"/>
  <c r="G12" i="21"/>
  <c r="E13" i="21"/>
  <c r="F13" i="21"/>
  <c r="G13" i="21"/>
  <c r="E14" i="21"/>
  <c r="F14" i="21"/>
  <c r="G14" i="21"/>
  <c r="E15" i="21"/>
  <c r="F15" i="21"/>
  <c r="G15" i="21"/>
  <c r="E16" i="21"/>
  <c r="F16" i="21"/>
  <c r="G16" i="21"/>
  <c r="G28" i="6" l="1"/>
  <c r="AD15" i="36"/>
  <c r="AD16" i="36"/>
  <c r="AD17" i="36"/>
  <c r="AD18" i="36"/>
  <c r="AD19" i="36"/>
  <c r="AD20" i="36"/>
  <c r="AD8" i="36"/>
  <c r="AD9" i="36"/>
  <c r="AD10" i="36"/>
  <c r="AD11" i="36"/>
  <c r="AD12" i="36"/>
  <c r="AD13" i="36"/>
  <c r="AD15" i="35"/>
  <c r="AD16" i="35"/>
  <c r="AD17" i="35"/>
  <c r="AD18" i="35"/>
  <c r="AD19" i="35"/>
  <c r="AD20" i="35"/>
  <c r="AD8" i="35"/>
  <c r="AD9" i="35"/>
  <c r="AD10" i="35"/>
  <c r="AD11" i="35"/>
  <c r="AD12" i="35"/>
  <c r="AD13" i="35"/>
  <c r="G41" i="20" l="1"/>
  <c r="J16" i="26"/>
  <c r="I16" i="26"/>
  <c r="I17" i="25" l="1"/>
  <c r="G37" i="7" l="1"/>
  <c r="R37" i="7" s="1"/>
  <c r="H42" i="20" l="1"/>
  <c r="K16" i="26" l="1"/>
  <c r="H34" i="34" l="1"/>
  <c r="H35" i="34"/>
  <c r="H36" i="34"/>
  <c r="H37" i="34"/>
  <c r="H38" i="34" l="1"/>
  <c r="H39" i="34"/>
  <c r="K32" i="25" l="1"/>
  <c r="E30" i="11" l="1"/>
  <c r="G11" i="26" l="1"/>
  <c r="H11" i="26" s="1"/>
  <c r="I11" i="26" s="1"/>
  <c r="I30" i="26" l="1"/>
  <c r="J11" i="26" l="1"/>
  <c r="K11" i="26" l="1"/>
  <c r="L11" i="26" s="1"/>
  <c r="I23" i="20"/>
  <c r="G39" i="7" l="1"/>
  <c r="K39" i="7" s="1"/>
  <c r="G30" i="16" l="1"/>
  <c r="D41" i="20"/>
  <c r="D21" i="20"/>
  <c r="G9" i="26"/>
  <c r="H9" i="26" s="1"/>
  <c r="I9" i="26" s="1"/>
  <c r="I17" i="26" s="1"/>
  <c r="I18" i="26" s="1"/>
  <c r="G36" i="8"/>
  <c r="F26" i="8"/>
  <c r="G10" i="8"/>
  <c r="J30" i="25"/>
  <c r="J27" i="21"/>
  <c r="G58" i="34"/>
  <c r="G36" i="34"/>
  <c r="G35" i="34"/>
  <c r="G34" i="34"/>
  <c r="I22" i="18"/>
  <c r="G25" i="11"/>
  <c r="H21" i="12"/>
  <c r="H12" i="12"/>
  <c r="G11" i="7"/>
  <c r="F10" i="6"/>
  <c r="G22" i="11"/>
  <c r="H16" i="12"/>
  <c r="O11" i="7"/>
  <c r="E33" i="11"/>
  <c r="H11" i="6"/>
  <c r="G33" i="16"/>
  <c r="J32" i="7"/>
  <c r="K45" i="6"/>
  <c r="L45" i="6" s="1"/>
  <c r="J22" i="7"/>
  <c r="J14" i="7"/>
  <c r="J12" i="7"/>
  <c r="F31" i="16"/>
  <c r="F21" i="16"/>
  <c r="G22" i="16" s="1"/>
  <c r="G25" i="16" s="1"/>
  <c r="H20" i="16" s="1"/>
  <c r="H22" i="16" s="1"/>
  <c r="F11" i="16"/>
  <c r="G12" i="16" s="1"/>
  <c r="B46" i="1"/>
  <c r="M24" i="35"/>
  <c r="AF27" i="36"/>
  <c r="AC27" i="36"/>
  <c r="Z27" i="36"/>
  <c r="W27" i="36"/>
  <c r="T27" i="36"/>
  <c r="AF26" i="36"/>
  <c r="AC26" i="36"/>
  <c r="Z26" i="36"/>
  <c r="W26" i="36"/>
  <c r="T26" i="36"/>
  <c r="AF24" i="36"/>
  <c r="AC24" i="36"/>
  <c r="Z24" i="36"/>
  <c r="W24" i="36"/>
  <c r="T24" i="36"/>
  <c r="AF22" i="36"/>
  <c r="AC22" i="36"/>
  <c r="Z22" i="36"/>
  <c r="W22" i="36"/>
  <c r="T22" i="36"/>
  <c r="AA20" i="36"/>
  <c r="X20" i="36"/>
  <c r="U20" i="36"/>
  <c r="R20" i="36"/>
  <c r="AA19" i="36"/>
  <c r="X19" i="36"/>
  <c r="U19" i="36"/>
  <c r="R19" i="36"/>
  <c r="AA18" i="36"/>
  <c r="X18" i="36"/>
  <c r="U18" i="36"/>
  <c r="R18" i="36"/>
  <c r="AA17" i="36"/>
  <c r="X17" i="36"/>
  <c r="U17" i="36"/>
  <c r="R17" i="36"/>
  <c r="AE14" i="36"/>
  <c r="AA16" i="36"/>
  <c r="X16" i="36"/>
  <c r="U16" i="36"/>
  <c r="R16" i="36"/>
  <c r="AA15" i="36"/>
  <c r="X15" i="36"/>
  <c r="U15" i="36"/>
  <c r="R15" i="36"/>
  <c r="AA13" i="36"/>
  <c r="X13" i="36"/>
  <c r="U13" i="36"/>
  <c r="R13" i="36"/>
  <c r="AA12" i="36"/>
  <c r="X12" i="36"/>
  <c r="U12" i="36"/>
  <c r="R12" i="36"/>
  <c r="AA11" i="36"/>
  <c r="X11" i="36"/>
  <c r="U11" i="36"/>
  <c r="V7" i="36" s="1"/>
  <c r="R11" i="36"/>
  <c r="AA10" i="36"/>
  <c r="X10" i="36"/>
  <c r="U10" i="36"/>
  <c r="R10" i="36"/>
  <c r="R8" i="36"/>
  <c r="R9" i="36"/>
  <c r="AA9" i="36"/>
  <c r="X9" i="36"/>
  <c r="U9" i="36"/>
  <c r="AE7" i="36"/>
  <c r="AA8" i="36"/>
  <c r="AB7" i="36" s="1"/>
  <c r="X8" i="36"/>
  <c r="U8" i="36"/>
  <c r="G10" i="25"/>
  <c r="H10" i="25"/>
  <c r="AF27" i="35"/>
  <c r="AC27" i="35"/>
  <c r="Z27" i="35"/>
  <c r="W27" i="35"/>
  <c r="T27" i="35"/>
  <c r="AF26" i="35"/>
  <c r="AC26" i="35"/>
  <c r="Z26" i="35"/>
  <c r="W26" i="35"/>
  <c r="T26" i="35"/>
  <c r="AF24" i="35"/>
  <c r="AC24" i="35"/>
  <c r="Z24" i="35"/>
  <c r="W24" i="35"/>
  <c r="T24" i="35"/>
  <c r="AF22" i="35"/>
  <c r="AC22" i="35"/>
  <c r="Z22" i="35"/>
  <c r="W22" i="35"/>
  <c r="T22" i="35"/>
  <c r="AA20" i="35"/>
  <c r="X20" i="35"/>
  <c r="U20" i="35"/>
  <c r="R20" i="35"/>
  <c r="AA19" i="35"/>
  <c r="X19" i="35"/>
  <c r="U19" i="35"/>
  <c r="R19" i="35"/>
  <c r="AA18" i="35"/>
  <c r="X18" i="35"/>
  <c r="U18" i="35"/>
  <c r="R18" i="35"/>
  <c r="AA17" i="35"/>
  <c r="X17" i="35"/>
  <c r="U17" i="35"/>
  <c r="R17" i="35"/>
  <c r="AE14" i="35"/>
  <c r="AA16" i="35"/>
  <c r="X16" i="35"/>
  <c r="U16" i="35"/>
  <c r="R16" i="35"/>
  <c r="AA15" i="35"/>
  <c r="X15" i="35"/>
  <c r="U15" i="35"/>
  <c r="R15" i="35"/>
  <c r="AA13" i="35"/>
  <c r="X13" i="35"/>
  <c r="U13" i="35"/>
  <c r="R13" i="35"/>
  <c r="AA12" i="35"/>
  <c r="X12" i="35"/>
  <c r="U12" i="35"/>
  <c r="R12" i="35"/>
  <c r="AA11" i="35"/>
  <c r="X11" i="35"/>
  <c r="U11" i="35"/>
  <c r="R11" i="35"/>
  <c r="AA10" i="35"/>
  <c r="X10" i="35"/>
  <c r="U10" i="35"/>
  <c r="R10" i="35"/>
  <c r="AE7" i="35"/>
  <c r="AA9" i="35"/>
  <c r="X9" i="35"/>
  <c r="U9" i="35"/>
  <c r="R9" i="35"/>
  <c r="AA8" i="35"/>
  <c r="X8" i="35"/>
  <c r="U8" i="35"/>
  <c r="R8" i="35"/>
  <c r="G38" i="6"/>
  <c r="J25" i="21"/>
  <c r="G14" i="17" s="1"/>
  <c r="J22" i="21"/>
  <c r="J21" i="21"/>
  <c r="J20" i="21"/>
  <c r="J18" i="21"/>
  <c r="J14" i="21"/>
  <c r="J13" i="21"/>
  <c r="J12" i="21"/>
  <c r="J11" i="21"/>
  <c r="B13" i="1"/>
  <c r="H19" i="17"/>
  <c r="H18" i="17"/>
  <c r="B44" i="1"/>
  <c r="B41" i="1"/>
  <c r="F55" i="34"/>
  <c r="F34" i="34"/>
  <c r="I60" i="34"/>
  <c r="I39" i="34"/>
  <c r="J54" i="34"/>
  <c r="I54" i="34"/>
  <c r="H54" i="34"/>
  <c r="G54" i="34"/>
  <c r="F54" i="34"/>
  <c r="J33" i="34"/>
  <c r="I33" i="34"/>
  <c r="H33" i="34"/>
  <c r="G33" i="34"/>
  <c r="F33" i="34"/>
  <c r="J74" i="34"/>
  <c r="I74" i="34"/>
  <c r="H74" i="34"/>
  <c r="G74" i="34"/>
  <c r="J73" i="34"/>
  <c r="I73" i="34"/>
  <c r="H73" i="34"/>
  <c r="G73" i="34"/>
  <c r="J72" i="34"/>
  <c r="I72" i="34"/>
  <c r="H72" i="34"/>
  <c r="G72" i="34"/>
  <c r="J71" i="34"/>
  <c r="I71" i="34"/>
  <c r="H71" i="34"/>
  <c r="G71" i="34"/>
  <c r="J70" i="34"/>
  <c r="I70" i="34"/>
  <c r="H70" i="34"/>
  <c r="G70" i="34"/>
  <c r="J69" i="34"/>
  <c r="I69" i="34"/>
  <c r="H69" i="34"/>
  <c r="G69" i="34"/>
  <c r="G68" i="34"/>
  <c r="J68" i="34"/>
  <c r="I68" i="34"/>
  <c r="H68" i="34"/>
  <c r="F74" i="34"/>
  <c r="F73" i="34"/>
  <c r="F72" i="34"/>
  <c r="F71" i="34"/>
  <c r="F70" i="34"/>
  <c r="F69" i="34"/>
  <c r="F68" i="34"/>
  <c r="J40" i="34"/>
  <c r="I40" i="34"/>
  <c r="H40" i="34"/>
  <c r="H41" i="34" s="1"/>
  <c r="H42" i="34" s="1"/>
  <c r="G40" i="34"/>
  <c r="G61" i="34"/>
  <c r="F40" i="34"/>
  <c r="J39" i="34"/>
  <c r="G39" i="34"/>
  <c r="F39" i="34"/>
  <c r="J38" i="34"/>
  <c r="I38" i="34"/>
  <c r="I34" i="34"/>
  <c r="I35" i="34"/>
  <c r="I36" i="34"/>
  <c r="I37" i="34"/>
  <c r="G38" i="34"/>
  <c r="F38" i="34"/>
  <c r="J37" i="34"/>
  <c r="F37" i="34"/>
  <c r="J36" i="34"/>
  <c r="J34" i="34"/>
  <c r="J35" i="34"/>
  <c r="F36" i="34"/>
  <c r="H56" i="34"/>
  <c r="F35" i="34"/>
  <c r="J61" i="34"/>
  <c r="I61" i="34"/>
  <c r="H61" i="34"/>
  <c r="J60" i="34"/>
  <c r="H60" i="34"/>
  <c r="G60" i="34"/>
  <c r="J59" i="34"/>
  <c r="I59" i="34"/>
  <c r="H59" i="34"/>
  <c r="H80" i="34" s="1"/>
  <c r="G59" i="34"/>
  <c r="J58" i="34"/>
  <c r="I58" i="34"/>
  <c r="H58" i="34"/>
  <c r="J57" i="34"/>
  <c r="I57" i="34"/>
  <c r="H57" i="34"/>
  <c r="G57" i="34"/>
  <c r="J56" i="34"/>
  <c r="I56" i="34"/>
  <c r="G56" i="34"/>
  <c r="J55" i="34"/>
  <c r="I55" i="34"/>
  <c r="H55" i="34"/>
  <c r="G55" i="34"/>
  <c r="G76" i="34" s="1"/>
  <c r="F61" i="34"/>
  <c r="F60" i="34"/>
  <c r="F59" i="34"/>
  <c r="F58" i="34"/>
  <c r="F57" i="34"/>
  <c r="F56" i="34"/>
  <c r="F77" i="34" s="1"/>
  <c r="B43" i="1"/>
  <c r="B38" i="1"/>
  <c r="H17" i="29"/>
  <c r="I15" i="29"/>
  <c r="B40" i="1"/>
  <c r="B39" i="1"/>
  <c r="B37" i="1"/>
  <c r="B36" i="1"/>
  <c r="B35" i="1"/>
  <c r="B34" i="1"/>
  <c r="B33" i="1"/>
  <c r="G35" i="8"/>
  <c r="G37" i="8"/>
  <c r="B32" i="1"/>
  <c r="B31" i="1"/>
  <c r="B22" i="1"/>
  <c r="B29" i="1"/>
  <c r="B28" i="1"/>
  <c r="B27" i="1"/>
  <c r="B26" i="1"/>
  <c r="B25" i="1"/>
  <c r="B24" i="1"/>
  <c r="B23" i="1"/>
  <c r="B21" i="1"/>
  <c r="B20" i="1"/>
  <c r="B19" i="1"/>
  <c r="B18" i="1"/>
  <c r="B17" i="1"/>
  <c r="B16" i="1"/>
  <c r="B14" i="1"/>
  <c r="B12" i="1"/>
  <c r="M10" i="25"/>
  <c r="L10" i="25"/>
  <c r="K10" i="25"/>
  <c r="J10" i="25"/>
  <c r="I10" i="25"/>
  <c r="P29" i="28"/>
  <c r="O29" i="28"/>
  <c r="N29" i="28"/>
  <c r="L29" i="28"/>
  <c r="H29" i="28"/>
  <c r="G29" i="28"/>
  <c r="F29" i="28"/>
  <c r="D29" i="28"/>
  <c r="G9" i="25"/>
  <c r="H9" i="25" s="1"/>
  <c r="I9" i="25" s="1"/>
  <c r="I20" i="25" s="1"/>
  <c r="F30" i="11"/>
  <c r="F19" i="10"/>
  <c r="F21" i="10" s="1"/>
  <c r="I14" i="22"/>
  <c r="O35" i="7"/>
  <c r="R35" i="7" s="1"/>
  <c r="P24" i="7"/>
  <c r="W24" i="7" s="1"/>
  <c r="O24" i="7"/>
  <c r="V24" i="7" s="1"/>
  <c r="P25" i="7"/>
  <c r="O25" i="7"/>
  <c r="R25" i="7" s="1"/>
  <c r="Y25" i="7" s="1"/>
  <c r="J23" i="21"/>
  <c r="J19" i="21"/>
  <c r="J16" i="21"/>
  <c r="J15" i="21"/>
  <c r="H30" i="18"/>
  <c r="H37" i="18" s="1"/>
  <c r="H38" i="18" s="1"/>
  <c r="H10" i="18" s="1"/>
  <c r="G30" i="18"/>
  <c r="G37" i="18" s="1"/>
  <c r="I34" i="20"/>
  <c r="I33" i="20"/>
  <c r="I32" i="20"/>
  <c r="I31" i="20"/>
  <c r="I30" i="20"/>
  <c r="I24" i="20"/>
  <c r="I22" i="20"/>
  <c r="I20" i="20"/>
  <c r="I14" i="20"/>
  <c r="I13" i="20"/>
  <c r="I12" i="20"/>
  <c r="I11" i="20"/>
  <c r="I10" i="20"/>
  <c r="I36" i="18"/>
  <c r="I35" i="18"/>
  <c r="I34" i="18"/>
  <c r="I33" i="18"/>
  <c r="I32" i="18"/>
  <c r="I31" i="18"/>
  <c r="I23" i="18"/>
  <c r="I19" i="18"/>
  <c r="H17" i="17"/>
  <c r="H11" i="17"/>
  <c r="H10" i="17"/>
  <c r="H34" i="16"/>
  <c r="G34" i="16"/>
  <c r="F22" i="12"/>
  <c r="H17" i="12"/>
  <c r="H13" i="12"/>
  <c r="G24" i="11"/>
  <c r="G21" i="11"/>
  <c r="G10" i="10"/>
  <c r="G27" i="8"/>
  <c r="G28" i="8"/>
  <c r="G40" i="7"/>
  <c r="W39" i="7"/>
  <c r="V39" i="7"/>
  <c r="X39" i="7" s="1"/>
  <c r="J39" i="7"/>
  <c r="M39" i="7" s="1"/>
  <c r="Y39" i="7"/>
  <c r="W38" i="7"/>
  <c r="G36" i="7"/>
  <c r="G35" i="7"/>
  <c r="G34" i="7"/>
  <c r="J33" i="7"/>
  <c r="G33" i="7"/>
  <c r="K33" i="7" s="1"/>
  <c r="G32" i="7"/>
  <c r="G31" i="7"/>
  <c r="G30" i="7"/>
  <c r="G29" i="7"/>
  <c r="G28" i="7"/>
  <c r="K28" i="7" s="1"/>
  <c r="L28" i="7"/>
  <c r="R24" i="7"/>
  <c r="Y24" i="7" s="1"/>
  <c r="J23" i="7"/>
  <c r="K23" i="7"/>
  <c r="L22" i="7"/>
  <c r="K21" i="7"/>
  <c r="L20" i="7"/>
  <c r="K20" i="7"/>
  <c r="J19" i="7"/>
  <c r="L19" i="7"/>
  <c r="G17" i="7"/>
  <c r="L17" i="7" s="1"/>
  <c r="G16" i="7"/>
  <c r="L16" i="7" s="1"/>
  <c r="J15" i="7"/>
  <c r="G15" i="7"/>
  <c r="K15" i="7" s="1"/>
  <c r="G14" i="7"/>
  <c r="K14" i="7" s="1"/>
  <c r="G13" i="7"/>
  <c r="K13" i="7" s="1"/>
  <c r="G12" i="7"/>
  <c r="L12" i="7" s="1"/>
  <c r="F11" i="7"/>
  <c r="F12" i="7" s="1"/>
  <c r="F13" i="7" s="1"/>
  <c r="F14" i="7" s="1"/>
  <c r="F15" i="7" s="1"/>
  <c r="F16" i="7" s="1"/>
  <c r="F17" i="7" s="1"/>
  <c r="F18" i="7" s="1"/>
  <c r="F19" i="7" s="1"/>
  <c r="F20" i="7" s="1"/>
  <c r="F21" i="7" s="1"/>
  <c r="F22" i="7" s="1"/>
  <c r="F23" i="7" s="1"/>
  <c r="F24" i="7" s="1"/>
  <c r="F25" i="7" s="1"/>
  <c r="F26" i="7" s="1"/>
  <c r="F27" i="7" s="1"/>
  <c r="F28" i="7" s="1"/>
  <c r="F29" i="7" s="1"/>
  <c r="F30" i="7" s="1"/>
  <c r="F31" i="7" s="1"/>
  <c r="F32" i="7" s="1"/>
  <c r="F33" i="7" s="1"/>
  <c r="F34" i="7" s="1"/>
  <c r="F35" i="7" s="1"/>
  <c r="F36" i="7" s="1"/>
  <c r="F37" i="7" s="1"/>
  <c r="F38" i="7" s="1"/>
  <c r="F39" i="7" s="1"/>
  <c r="F40" i="7" s="1"/>
  <c r="F41" i="7" s="1"/>
  <c r="F42" i="7" s="1"/>
  <c r="F44" i="7" s="1"/>
  <c r="F45" i="7" s="1"/>
  <c r="F46" i="7" s="1"/>
  <c r="F47" i="7" s="1"/>
  <c r="F48" i="7" s="1"/>
  <c r="F49" i="7" s="1"/>
  <c r="I24" i="6"/>
  <c r="I25" i="6"/>
  <c r="L39" i="7"/>
  <c r="Z39" i="7" s="1"/>
  <c r="H16" i="29"/>
  <c r="L33" i="7"/>
  <c r="F82" i="34"/>
  <c r="F79" i="34"/>
  <c r="K44" i="25"/>
  <c r="K30" i="25"/>
  <c r="K42" i="25"/>
  <c r="G11" i="10"/>
  <c r="G23" i="11"/>
  <c r="I21" i="20"/>
  <c r="F22" i="10" l="1"/>
  <c r="G22" i="10" s="1"/>
  <c r="G21" i="10"/>
  <c r="F41" i="6"/>
  <c r="F25" i="6"/>
  <c r="J25" i="6" s="1"/>
  <c r="L40" i="7"/>
  <c r="R40" i="7"/>
  <c r="J78" i="34"/>
  <c r="J77" i="34"/>
  <c r="I80" i="34"/>
  <c r="F22" i="6"/>
  <c r="F37" i="6"/>
  <c r="F38" i="6"/>
  <c r="J38" i="6" s="1"/>
  <c r="F21" i="6"/>
  <c r="F20" i="6"/>
  <c r="F36" i="6"/>
  <c r="F19" i="6"/>
  <c r="F35" i="6"/>
  <c r="F29" i="6"/>
  <c r="F30" i="6"/>
  <c r="F15" i="6"/>
  <c r="F31" i="6"/>
  <c r="F26" i="6"/>
  <c r="F14" i="6"/>
  <c r="F28" i="6"/>
  <c r="J28" i="6" s="1"/>
  <c r="F33" i="6"/>
  <c r="F18" i="6"/>
  <c r="F17" i="6"/>
  <c r="F12" i="6"/>
  <c r="F16" i="6"/>
  <c r="F13" i="6"/>
  <c r="F24" i="6"/>
  <c r="K24" i="6" s="1"/>
  <c r="F23" i="6"/>
  <c r="F39" i="6"/>
  <c r="I76" i="34"/>
  <c r="I77" i="34"/>
  <c r="K30" i="7"/>
  <c r="L30" i="7"/>
  <c r="G16" i="17"/>
  <c r="L31" i="7"/>
  <c r="K31" i="7"/>
  <c r="S14" i="36"/>
  <c r="J82" i="34"/>
  <c r="S14" i="35"/>
  <c r="V25" i="7"/>
  <c r="K35" i="7"/>
  <c r="L35" i="7"/>
  <c r="J81" i="34"/>
  <c r="J76" i="34"/>
  <c r="AB7" i="35"/>
  <c r="F11" i="6"/>
  <c r="K11" i="6" s="1"/>
  <c r="F48" i="6"/>
  <c r="L34" i="7"/>
  <c r="K34" i="7"/>
  <c r="L29" i="7"/>
  <c r="K29" i="7"/>
  <c r="J79" i="34"/>
  <c r="AB14" i="35"/>
  <c r="L11" i="7"/>
  <c r="K11" i="7"/>
  <c r="AB14" i="36"/>
  <c r="I79" i="34"/>
  <c r="I81" i="34"/>
  <c r="I78" i="34"/>
  <c r="G37" i="6"/>
  <c r="Q25" i="7"/>
  <c r="T25" i="7" s="1"/>
  <c r="I75" i="34"/>
  <c r="F81" i="34"/>
  <c r="I82" i="34"/>
  <c r="L23" i="7"/>
  <c r="I30" i="18"/>
  <c r="J75" i="34"/>
  <c r="F78" i="34"/>
  <c r="G75" i="34"/>
  <c r="G82" i="34"/>
  <c r="J9" i="25"/>
  <c r="J19" i="25" s="1"/>
  <c r="I19" i="25"/>
  <c r="S7" i="36"/>
  <c r="W7" i="36" s="1"/>
  <c r="M29" i="7"/>
  <c r="AH45" i="7" s="1"/>
  <c r="I62" i="34"/>
  <c r="I63" i="34" s="1"/>
  <c r="V14" i="36"/>
  <c r="W14" i="36" s="1"/>
  <c r="K19" i="7"/>
  <c r="L38" i="7"/>
  <c r="Z38" i="7" s="1"/>
  <c r="J62" i="34"/>
  <c r="J63" i="34" s="1"/>
  <c r="H21" i="18" s="1"/>
  <c r="K17" i="7"/>
  <c r="H75" i="34"/>
  <c r="F41" i="34"/>
  <c r="F42" i="34" s="1"/>
  <c r="V7" i="35"/>
  <c r="V14" i="35"/>
  <c r="W14" i="35" s="1"/>
  <c r="Y14" i="36"/>
  <c r="G80" i="34"/>
  <c r="L15" i="7"/>
  <c r="M19" i="7"/>
  <c r="G81" i="34"/>
  <c r="I41" i="34"/>
  <c r="I42" i="34" s="1"/>
  <c r="F75" i="34"/>
  <c r="F62" i="34"/>
  <c r="F63" i="34" s="1"/>
  <c r="S7" i="35"/>
  <c r="J41" i="34"/>
  <c r="J42" i="34" s="1"/>
  <c r="G21" i="18" s="1"/>
  <c r="L21" i="7"/>
  <c r="F80" i="34"/>
  <c r="J80" i="34"/>
  <c r="H79" i="34"/>
  <c r="Y7" i="36"/>
  <c r="Z7" i="36" s="1"/>
  <c r="H20" i="12"/>
  <c r="E29" i="28"/>
  <c r="H18" i="12"/>
  <c r="K9" i="25"/>
  <c r="J32" i="25"/>
  <c r="I37" i="18"/>
  <c r="G38" i="18"/>
  <c r="G10" i="18" s="1"/>
  <c r="I32" i="25"/>
  <c r="M33" i="7"/>
  <c r="Y14" i="35"/>
  <c r="AF14" i="35" s="1"/>
  <c r="W25" i="7"/>
  <c r="F76" i="34"/>
  <c r="M15" i="7"/>
  <c r="M32" i="7"/>
  <c r="M12" i="7"/>
  <c r="M22" i="7"/>
  <c r="J33" i="25"/>
  <c r="M14" i="7"/>
  <c r="M28" i="7"/>
  <c r="AH44" i="7" s="1"/>
  <c r="M23" i="7"/>
  <c r="G15" i="16"/>
  <c r="G78" i="34"/>
  <c r="G32" i="16"/>
  <c r="G35" i="16" s="1"/>
  <c r="H30" i="16" s="1"/>
  <c r="H32" i="16" s="1"/>
  <c r="Y7" i="35"/>
  <c r="AF7" i="35" s="1"/>
  <c r="H14" i="12"/>
  <c r="H19" i="12"/>
  <c r="G15" i="12"/>
  <c r="O34" i="7"/>
  <c r="R34" i="7" s="1"/>
  <c r="H78" i="34"/>
  <c r="H77" i="34"/>
  <c r="H82" i="34"/>
  <c r="H81" i="34"/>
  <c r="E9" i="11"/>
  <c r="H11" i="12"/>
  <c r="F15" i="12"/>
  <c r="M29" i="28"/>
  <c r="E26" i="11"/>
  <c r="E13" i="11" s="1"/>
  <c r="H76" i="34"/>
  <c r="H62" i="34"/>
  <c r="H63" i="34" s="1"/>
  <c r="H38" i="6"/>
  <c r="P35" i="7"/>
  <c r="G17" i="10"/>
  <c r="G19" i="10"/>
  <c r="F26" i="11"/>
  <c r="F13" i="11" s="1"/>
  <c r="E38" i="8"/>
  <c r="O36" i="7" s="1"/>
  <c r="R36" i="7" s="1"/>
  <c r="J28" i="21"/>
  <c r="F14" i="17" s="1"/>
  <c r="H14" i="17" s="1"/>
  <c r="G11" i="25"/>
  <c r="I24" i="26"/>
  <c r="I25" i="26" s="1"/>
  <c r="J9" i="26"/>
  <c r="J17" i="26" s="1"/>
  <c r="J18" i="26" s="1"/>
  <c r="I41" i="20"/>
  <c r="X24" i="7"/>
  <c r="G38" i="8"/>
  <c r="Q24" i="7"/>
  <c r="T24" i="7" s="1"/>
  <c r="S24" i="7"/>
  <c r="Z24" i="7" s="1"/>
  <c r="AA24" i="7" s="1"/>
  <c r="S25" i="7"/>
  <c r="Z25" i="7" s="1"/>
  <c r="AA25" i="7" s="1"/>
  <c r="AA39" i="7"/>
  <c r="G22" i="12"/>
  <c r="G30" i="11"/>
  <c r="M30" i="25"/>
  <c r="H26" i="6"/>
  <c r="P26" i="7"/>
  <c r="G77" i="34"/>
  <c r="E12" i="10"/>
  <c r="G62" i="34"/>
  <c r="G63" i="34" s="1"/>
  <c r="R11" i="7"/>
  <c r="F12" i="10"/>
  <c r="F33" i="11"/>
  <c r="G33" i="11" s="1"/>
  <c r="W40" i="7"/>
  <c r="J20" i="7"/>
  <c r="M20" i="7" s="1"/>
  <c r="G11" i="6"/>
  <c r="H10" i="12"/>
  <c r="J13" i="7"/>
  <c r="M13" i="7" s="1"/>
  <c r="J21" i="7"/>
  <c r="M21" i="7" s="1"/>
  <c r="J35" i="7"/>
  <c r="M35" i="7" s="1"/>
  <c r="E12" i="11"/>
  <c r="K32" i="7"/>
  <c r="K12" i="7"/>
  <c r="F38" i="8"/>
  <c r="J16" i="7"/>
  <c r="M16" i="7" s="1"/>
  <c r="G9" i="8"/>
  <c r="E26" i="8"/>
  <c r="P11" i="7"/>
  <c r="G37" i="34"/>
  <c r="G79" i="34" s="1"/>
  <c r="V37" i="7"/>
  <c r="Q37" i="7"/>
  <c r="G29" i="6"/>
  <c r="S37" i="7"/>
  <c r="W37" i="7"/>
  <c r="I30" i="25"/>
  <c r="I33" i="25" s="1"/>
  <c r="K16" i="7"/>
  <c r="O32" i="7"/>
  <c r="R32" i="7" s="1"/>
  <c r="R41" i="7" s="1"/>
  <c r="I42" i="25"/>
  <c r="L32" i="7"/>
  <c r="P32" i="7"/>
  <c r="W32" i="7" s="1"/>
  <c r="K17" i="25"/>
  <c r="K43" i="25" s="1"/>
  <c r="J34" i="7"/>
  <c r="M34" i="7" s="1"/>
  <c r="J34" i="25"/>
  <c r="I34" i="25"/>
  <c r="L18" i="7"/>
  <c r="V40" i="7"/>
  <c r="I44" i="25"/>
  <c r="L14" i="7"/>
  <c r="L13" i="7"/>
  <c r="J40" i="7"/>
  <c r="M40" i="7" s="1"/>
  <c r="V35" i="7"/>
  <c r="J18" i="7"/>
  <c r="M18" i="7" s="1"/>
  <c r="L30" i="25"/>
  <c r="K18" i="7"/>
  <c r="K40" i="7"/>
  <c r="K22" i="7"/>
  <c r="J17" i="7"/>
  <c r="M17" i="7" s="1"/>
  <c r="AF14" i="36"/>
  <c r="Z14" i="36"/>
  <c r="K38" i="6" l="1"/>
  <c r="L25" i="6"/>
  <c r="K30" i="6"/>
  <c r="J30" i="6"/>
  <c r="J37" i="6"/>
  <c r="X25" i="7"/>
  <c r="J83" i="34"/>
  <c r="J84" i="34" s="1"/>
  <c r="J29" i="6"/>
  <c r="L24" i="6"/>
  <c r="J24" i="6"/>
  <c r="L30" i="6"/>
  <c r="K26" i="6"/>
  <c r="K25" i="6"/>
  <c r="I83" i="34"/>
  <c r="I84" i="34" s="1"/>
  <c r="J11" i="6"/>
  <c r="F83" i="34"/>
  <c r="F84" i="34" s="1"/>
  <c r="AC14" i="36"/>
  <c r="V32" i="7"/>
  <c r="X32" i="7" s="1"/>
  <c r="AC14" i="35"/>
  <c r="AC7" i="35"/>
  <c r="AC7" i="36"/>
  <c r="I45" i="25"/>
  <c r="Y35" i="7"/>
  <c r="H10" i="16"/>
  <c r="H12" i="16" s="1"/>
  <c r="F11" i="11"/>
  <c r="G36" i="6"/>
  <c r="J36" i="6" s="1"/>
  <c r="P34" i="7"/>
  <c r="S34" i="7" s="1"/>
  <c r="Z34" i="7" s="1"/>
  <c r="T37" i="7"/>
  <c r="K19" i="25"/>
  <c r="W7" i="35"/>
  <c r="AF7" i="36"/>
  <c r="Z7" i="35"/>
  <c r="G31" i="6"/>
  <c r="J31" i="6" s="1"/>
  <c r="Z14" i="35"/>
  <c r="I38" i="6"/>
  <c r="L38" i="6" s="1"/>
  <c r="I10" i="18"/>
  <c r="I38" i="18"/>
  <c r="P33" i="7"/>
  <c r="W33" i="7" s="1"/>
  <c r="H36" i="6"/>
  <c r="K36" i="6" s="1"/>
  <c r="K34" i="25"/>
  <c r="L9" i="25"/>
  <c r="K33" i="25"/>
  <c r="Y34" i="7"/>
  <c r="V34" i="7"/>
  <c r="O33" i="7"/>
  <c r="H83" i="34"/>
  <c r="H84" i="34" s="1"/>
  <c r="F23" i="12"/>
  <c r="E11" i="11"/>
  <c r="H15" i="12"/>
  <c r="G13" i="11"/>
  <c r="H37" i="6"/>
  <c r="K37" i="6" s="1"/>
  <c r="W35" i="7"/>
  <c r="X35" i="7" s="1"/>
  <c r="S35" i="7"/>
  <c r="Z35" i="7" s="1"/>
  <c r="Q35" i="7"/>
  <c r="G26" i="11"/>
  <c r="I31" i="26"/>
  <c r="H11" i="25"/>
  <c r="I11" i="25" s="1"/>
  <c r="J24" i="26"/>
  <c r="J25" i="26" s="1"/>
  <c r="K9" i="26"/>
  <c r="K17" i="26" s="1"/>
  <c r="K18" i="26" s="1"/>
  <c r="I32" i="26"/>
  <c r="J30" i="26"/>
  <c r="Z37" i="7"/>
  <c r="H29" i="6"/>
  <c r="K29" i="6" s="1"/>
  <c r="S40" i="7"/>
  <c r="Z40" i="7" s="1"/>
  <c r="X40" i="7"/>
  <c r="H22" i="12"/>
  <c r="F12" i="11"/>
  <c r="G12" i="11" s="1"/>
  <c r="G23" i="12"/>
  <c r="Q32" i="7"/>
  <c r="S32" i="7"/>
  <c r="G83" i="34"/>
  <c r="G84" i="34" s="1"/>
  <c r="Y37" i="7"/>
  <c r="W11" i="7"/>
  <c r="S11" i="7"/>
  <c r="G41" i="34"/>
  <c r="G42" i="34" s="1"/>
  <c r="S26" i="7"/>
  <c r="Z26" i="7" s="1"/>
  <c r="W26" i="7"/>
  <c r="Y36" i="7"/>
  <c r="V36" i="7"/>
  <c r="I11" i="6"/>
  <c r="L11" i="6" s="1"/>
  <c r="G26" i="6"/>
  <c r="J26" i="6" s="1"/>
  <c r="O26" i="7"/>
  <c r="G26" i="8"/>
  <c r="H31" i="6"/>
  <c r="K31" i="6" s="1"/>
  <c r="P36" i="7"/>
  <c r="Q36" i="7" s="1"/>
  <c r="T36" i="7" s="1"/>
  <c r="Q11" i="7"/>
  <c r="E34" i="11" s="1"/>
  <c r="K20" i="25"/>
  <c r="I43" i="25"/>
  <c r="X37" i="7"/>
  <c r="I46" i="25"/>
  <c r="I21" i="25"/>
  <c r="I47" i="25" s="1"/>
  <c r="Y40" i="7"/>
  <c r="G39" i="6"/>
  <c r="L27" i="7"/>
  <c r="L42" i="7" s="1"/>
  <c r="L44" i="7" s="1"/>
  <c r="L46" i="7" s="1"/>
  <c r="L48" i="7" l="1"/>
  <c r="Z48" i="7" s="1"/>
  <c r="F34" i="11"/>
  <c r="Z32" i="7"/>
  <c r="S41" i="7"/>
  <c r="Z41" i="7" s="1"/>
  <c r="V33" i="7"/>
  <c r="X33" i="7" s="1"/>
  <c r="R33" i="7"/>
  <c r="Y33" i="7" s="1"/>
  <c r="T32" i="7"/>
  <c r="T41" i="7" s="1"/>
  <c r="AA35" i="7"/>
  <c r="Q34" i="7"/>
  <c r="I21" i="18"/>
  <c r="G11" i="11"/>
  <c r="W34" i="7"/>
  <c r="X34" i="7" s="1"/>
  <c r="AA34" i="7"/>
  <c r="T40" i="7"/>
  <c r="T35" i="7"/>
  <c r="L33" i="25"/>
  <c r="I29" i="6"/>
  <c r="L29" i="6" s="1"/>
  <c r="J11" i="25"/>
  <c r="I22" i="25"/>
  <c r="D10" i="28" s="1"/>
  <c r="K46" i="25"/>
  <c r="S33" i="7"/>
  <c r="Z33" i="7" s="1"/>
  <c r="I36" i="6"/>
  <c r="L36" i="6" s="1"/>
  <c r="K45" i="25"/>
  <c r="L32" i="25"/>
  <c r="L34" i="25"/>
  <c r="M9" i="25"/>
  <c r="Q33" i="7"/>
  <c r="I37" i="6"/>
  <c r="L37" i="6" s="1"/>
  <c r="H23" i="12"/>
  <c r="L9" i="26"/>
  <c r="K24" i="26"/>
  <c r="K25" i="26" s="1"/>
  <c r="I42" i="20"/>
  <c r="I35" i="25"/>
  <c r="D19" i="28" s="1"/>
  <c r="I36" i="25"/>
  <c r="L19" i="28" s="1"/>
  <c r="I37" i="25"/>
  <c r="I23" i="25"/>
  <c r="J32" i="6"/>
  <c r="I31" i="6"/>
  <c r="L31" i="6" s="1"/>
  <c r="J31" i="26"/>
  <c r="AA37" i="7"/>
  <c r="H39" i="6"/>
  <c r="K39" i="6" s="1"/>
  <c r="K21" i="25"/>
  <c r="K47" i="25" s="1"/>
  <c r="W36" i="7"/>
  <c r="X36" i="7" s="1"/>
  <c r="S36" i="7"/>
  <c r="Z36" i="7" s="1"/>
  <c r="AA36" i="7" s="1"/>
  <c r="G12" i="10"/>
  <c r="Z11" i="7"/>
  <c r="T11" i="7"/>
  <c r="Q26" i="7"/>
  <c r="T26" i="7" s="1"/>
  <c r="R26" i="7"/>
  <c r="V26" i="7"/>
  <c r="X26" i="7" s="1"/>
  <c r="I26" i="6"/>
  <c r="L26" i="6" s="1"/>
  <c r="Y32" i="7"/>
  <c r="Y41" i="7"/>
  <c r="AA40" i="7"/>
  <c r="F58" i="7"/>
  <c r="J39" i="6"/>
  <c r="T34" i="7" l="1"/>
  <c r="AA32" i="7"/>
  <c r="D21" i="28"/>
  <c r="J22" i="25"/>
  <c r="K11" i="25"/>
  <c r="L21" i="28"/>
  <c r="T33" i="7"/>
  <c r="AA33" i="7"/>
  <c r="K30" i="26"/>
  <c r="M34" i="25"/>
  <c r="M32" i="25"/>
  <c r="M33" i="25"/>
  <c r="K32" i="26"/>
  <c r="I39" i="6"/>
  <c r="L39" i="6" s="1"/>
  <c r="I48" i="25"/>
  <c r="I49" i="25"/>
  <c r="M9" i="26"/>
  <c r="L24" i="26"/>
  <c r="D28" i="28"/>
  <c r="I24" i="25"/>
  <c r="L10" i="28"/>
  <c r="J35" i="25"/>
  <c r="J36" i="25"/>
  <c r="M19" i="28" s="1"/>
  <c r="J37" i="25"/>
  <c r="J32" i="26"/>
  <c r="AA41" i="7"/>
  <c r="H35" i="6"/>
  <c r="K35" i="6" s="1"/>
  <c r="P31" i="7"/>
  <c r="F35" i="11"/>
  <c r="F14" i="11" s="1"/>
  <c r="G35" i="6"/>
  <c r="E35" i="11"/>
  <c r="O31" i="7"/>
  <c r="Y26" i="7"/>
  <c r="L11" i="25" l="1"/>
  <c r="M11" i="25" s="1"/>
  <c r="M36" i="25" s="1"/>
  <c r="P19" i="28" s="1"/>
  <c r="K35" i="25"/>
  <c r="F19" i="28" s="1"/>
  <c r="K22" i="25"/>
  <c r="F10" i="28" s="1"/>
  <c r="D30" i="28"/>
  <c r="M21" i="28"/>
  <c r="L12" i="28"/>
  <c r="L37" i="25"/>
  <c r="I50" i="25"/>
  <c r="L28" i="28"/>
  <c r="J42" i="25"/>
  <c r="J44" i="25"/>
  <c r="J17" i="25"/>
  <c r="K31" i="26"/>
  <c r="D12" i="28"/>
  <c r="L25" i="26"/>
  <c r="M24" i="26"/>
  <c r="E19" i="28"/>
  <c r="K37" i="25"/>
  <c r="K36" i="25"/>
  <c r="K23" i="25"/>
  <c r="R31" i="7"/>
  <c r="Q31" i="7"/>
  <c r="S31" i="7"/>
  <c r="Z31" i="7" s="1"/>
  <c r="W31" i="7"/>
  <c r="G35" i="11"/>
  <c r="E14" i="11"/>
  <c r="I35" i="6"/>
  <c r="L35" i="6" s="1"/>
  <c r="J35" i="6"/>
  <c r="AA26" i="7"/>
  <c r="L36" i="25" l="1"/>
  <c r="O19" i="28" s="1"/>
  <c r="L35" i="25"/>
  <c r="P21" i="28"/>
  <c r="M35" i="25"/>
  <c r="M37" i="25"/>
  <c r="G19" i="28"/>
  <c r="F21" i="28"/>
  <c r="L30" i="28"/>
  <c r="E21" i="28"/>
  <c r="F12" i="28"/>
  <c r="N19" i="28"/>
  <c r="T31" i="7"/>
  <c r="J20" i="25"/>
  <c r="J43" i="25"/>
  <c r="J45" i="25"/>
  <c r="M25" i="26"/>
  <c r="H20" i="18" s="1"/>
  <c r="H16" i="18" s="1"/>
  <c r="H24" i="18" s="1"/>
  <c r="H25" i="18" s="1"/>
  <c r="H9" i="18" s="1"/>
  <c r="H11" i="18" s="1"/>
  <c r="G15" i="17" s="1"/>
  <c r="K48" i="25"/>
  <c r="K24" i="25"/>
  <c r="K50" i="25" s="1"/>
  <c r="K49" i="25"/>
  <c r="N10" i="28"/>
  <c r="G14" i="11"/>
  <c r="H33" i="6" l="1"/>
  <c r="K33" i="6" s="1"/>
  <c r="P29" i="7"/>
  <c r="S29" i="7" s="1"/>
  <c r="Z29" i="7" s="1"/>
  <c r="O21" i="28"/>
  <c r="G21" i="28"/>
  <c r="H19" i="28"/>
  <c r="F10" i="11"/>
  <c r="N21" i="28"/>
  <c r="J46" i="25"/>
  <c r="J23" i="25"/>
  <c r="J24" i="25" s="1"/>
  <c r="J50" i="25" s="1"/>
  <c r="J21" i="25"/>
  <c r="J47" i="25" s="1"/>
  <c r="J48" i="25"/>
  <c r="E10" i="28"/>
  <c r="N28" i="28"/>
  <c r="N12" i="28"/>
  <c r="F28" i="28"/>
  <c r="H25" i="16"/>
  <c r="I20" i="16" s="1"/>
  <c r="W29" i="7" l="1"/>
  <c r="H21" i="28"/>
  <c r="F30" i="28"/>
  <c r="N30" i="28"/>
  <c r="E28" i="28"/>
  <c r="E12" i="28"/>
  <c r="M10" i="28"/>
  <c r="J49" i="25"/>
  <c r="I22" i="16"/>
  <c r="E30" i="28" l="1"/>
  <c r="M12" i="28"/>
  <c r="M28" i="28"/>
  <c r="M30" i="28" l="1"/>
  <c r="H15" i="16"/>
  <c r="H33" i="16"/>
  <c r="H35" i="16" s="1"/>
  <c r="I30" i="16" s="1"/>
  <c r="I10" i="16" l="1"/>
  <c r="I12" i="16" s="1"/>
  <c r="I32" i="16"/>
  <c r="J11" i="7" l="1"/>
  <c r="V11" i="7"/>
  <c r="X11" i="7" s="1"/>
  <c r="V31" i="7"/>
  <c r="X31" i="7" s="1"/>
  <c r="Y31" i="7"/>
  <c r="AA31" i="7" s="1"/>
  <c r="M31" i="7"/>
  <c r="M11" i="7" l="1"/>
  <c r="M27" i="7" s="1"/>
  <c r="AH43" i="7" s="1"/>
  <c r="Y11" i="7"/>
  <c r="K27" i="7"/>
  <c r="AA11" i="7" l="1"/>
  <c r="M30" i="7" l="1"/>
  <c r="AH46" i="7" s="1"/>
  <c r="I25" i="16" l="1"/>
  <c r="J20" i="16" s="1"/>
  <c r="J22" i="16" s="1"/>
  <c r="I33" i="16" l="1"/>
  <c r="I35" i="16" s="1"/>
  <c r="J30" i="16" s="1"/>
  <c r="J32" i="16" s="1"/>
  <c r="I15" i="16"/>
  <c r="J10" i="16" s="1"/>
  <c r="J12" i="16" s="1"/>
  <c r="H43" i="20" l="1"/>
  <c r="I43" i="20" s="1"/>
  <c r="L19" i="25"/>
  <c r="I18" i="18" l="1"/>
  <c r="H44" i="20"/>
  <c r="I44" i="20" s="1"/>
  <c r="M17" i="26"/>
  <c r="M18" i="26" s="1"/>
  <c r="L42" i="25"/>
  <c r="L44" i="25"/>
  <c r="L17" i="25"/>
  <c r="L17" i="26"/>
  <c r="L31" i="26" s="1"/>
  <c r="L30" i="26"/>
  <c r="G20" i="18" l="1"/>
  <c r="M32" i="26"/>
  <c r="M19" i="25"/>
  <c r="M42" i="25"/>
  <c r="L43" i="25"/>
  <c r="L20" i="25"/>
  <c r="L21" i="25" s="1"/>
  <c r="L47" i="25" s="1"/>
  <c r="L22" i="25"/>
  <c r="L45" i="25"/>
  <c r="L18" i="26"/>
  <c r="L32" i="26" s="1"/>
  <c r="M44" i="25"/>
  <c r="M17" i="25"/>
  <c r="G10" i="28" l="1"/>
  <c r="L48" i="25"/>
  <c r="M20" i="25"/>
  <c r="M21" i="25" s="1"/>
  <c r="M47" i="25" s="1"/>
  <c r="M43" i="25"/>
  <c r="L23" i="25"/>
  <c r="L46" i="25"/>
  <c r="M31" i="26"/>
  <c r="M22" i="25"/>
  <c r="G33" i="6" s="1"/>
  <c r="M45" i="25"/>
  <c r="E10" i="11" l="1"/>
  <c r="O29" i="7"/>
  <c r="V29" i="7" s="1"/>
  <c r="X29" i="7" s="1"/>
  <c r="E15" i="11"/>
  <c r="E17" i="11" s="1"/>
  <c r="G10" i="11"/>
  <c r="R29" i="7"/>
  <c r="Q29" i="7"/>
  <c r="J33" i="6"/>
  <c r="I33" i="6"/>
  <c r="L33" i="6" s="1"/>
  <c r="I20" i="18"/>
  <c r="I16" i="18" s="1"/>
  <c r="G16" i="18"/>
  <c r="G24" i="18" s="1"/>
  <c r="G28" i="28"/>
  <c r="G12" i="28"/>
  <c r="M23" i="25"/>
  <c r="M24" i="25" s="1"/>
  <c r="M50" i="25" s="1"/>
  <c r="M46" i="25"/>
  <c r="H10" i="28"/>
  <c r="M48" i="25"/>
  <c r="O10" i="28"/>
  <c r="L49" i="25"/>
  <c r="L24" i="25"/>
  <c r="L50" i="25" s="1"/>
  <c r="H12" i="28" l="1"/>
  <c r="G30" i="28"/>
  <c r="T29" i="7"/>
  <c r="AI45" i="7" s="1"/>
  <c r="Y29" i="7"/>
  <c r="AA29" i="7" s="1"/>
  <c r="H28" i="28"/>
  <c r="O30" i="7"/>
  <c r="G41" i="6"/>
  <c r="J41" i="6" s="1"/>
  <c r="G25" i="18"/>
  <c r="I24" i="18"/>
  <c r="O28" i="28"/>
  <c r="O12" i="28"/>
  <c r="P10" i="28"/>
  <c r="M49" i="25"/>
  <c r="P12" i="28" l="1"/>
  <c r="O30" i="28"/>
  <c r="H30" i="28"/>
  <c r="P28" i="28"/>
  <c r="R30" i="7"/>
  <c r="Y30" i="7" s="1"/>
  <c r="V30" i="7"/>
  <c r="G9" i="18"/>
  <c r="I25" i="18"/>
  <c r="P30" i="28" l="1"/>
  <c r="I9" i="18"/>
  <c r="G11" i="18"/>
  <c r="F15" i="17" s="1"/>
  <c r="H15" i="17" s="1"/>
  <c r="I11" i="18" l="1"/>
  <c r="J15" i="16" l="1"/>
  <c r="K10" i="16" l="1"/>
  <c r="K12" i="16" s="1"/>
  <c r="G10" i="22"/>
  <c r="H28" i="6"/>
  <c r="K28" i="6" s="1"/>
  <c r="F9" i="11"/>
  <c r="G12" i="22" l="1"/>
  <c r="F15" i="11"/>
  <c r="G9" i="11"/>
  <c r="K32" i="6"/>
  <c r="I28" i="6"/>
  <c r="L28" i="6" s="1"/>
  <c r="L32" i="6" s="1"/>
  <c r="F17" i="11" l="1"/>
  <c r="G15" i="11"/>
  <c r="G17" i="11" l="1"/>
  <c r="P30" i="7"/>
  <c r="H41" i="6"/>
  <c r="Q30" i="7" l="1"/>
  <c r="W30" i="7"/>
  <c r="X30" i="7" s="1"/>
  <c r="S30" i="7"/>
  <c r="K41" i="6"/>
  <c r="I41" i="6"/>
  <c r="L41" i="6" s="1"/>
  <c r="T30" i="7" l="1"/>
  <c r="Z30" i="7"/>
  <c r="AI46" i="7" l="1"/>
  <c r="AJ46" i="7" s="1"/>
  <c r="AK53" i="7" s="1"/>
  <c r="AA30" i="7"/>
  <c r="J25" i="16" l="1"/>
  <c r="K20" i="16" s="1"/>
  <c r="J35" i="16"/>
  <c r="K30" i="16" s="1"/>
  <c r="K32" i="16" s="1"/>
  <c r="H10" i="22" l="1"/>
  <c r="K22" i="16"/>
  <c r="H12" i="22" l="1"/>
  <c r="I10" i="22"/>
  <c r="I12" i="22"/>
  <c r="J38" i="7"/>
  <c r="M38" i="7" s="1"/>
  <c r="M42" i="7" s="1"/>
  <c r="V38" i="7"/>
  <c r="X38" i="7" s="1"/>
  <c r="Y38" i="7"/>
  <c r="K42" i="7" l="1"/>
  <c r="K44" i="7" s="1"/>
  <c r="AA38" i="7"/>
  <c r="K46" i="7" l="1"/>
  <c r="K48" i="7" s="1"/>
  <c r="M44" i="7"/>
  <c r="M46" i="7" s="1"/>
  <c r="E58" i="7" l="1"/>
  <c r="G58" i="7" s="1"/>
  <c r="M48" i="7" l="1"/>
  <c r="Y48" i="7"/>
  <c r="AA48" i="7" s="1"/>
  <c r="O18" i="7" l="1"/>
  <c r="G18" i="6"/>
  <c r="G14" i="6"/>
  <c r="O14" i="7"/>
  <c r="G16" i="6"/>
  <c r="O16" i="7"/>
  <c r="O22" i="7"/>
  <c r="G22" i="6"/>
  <c r="O20" i="7"/>
  <c r="G20" i="6"/>
  <c r="G19" i="6"/>
  <c r="O19" i="7"/>
  <c r="G15" i="6"/>
  <c r="O15" i="7"/>
  <c r="O17" i="7"/>
  <c r="G17" i="6"/>
  <c r="G13" i="6"/>
  <c r="O13" i="7"/>
  <c r="O21" i="7"/>
  <c r="G21" i="6"/>
  <c r="G23" i="6"/>
  <c r="O23" i="7"/>
  <c r="R20" i="7" l="1"/>
  <c r="Y20" i="7" s="1"/>
  <c r="V20" i="7"/>
  <c r="V17" i="7"/>
  <c r="R17" i="7"/>
  <c r="Y17" i="7" s="1"/>
  <c r="R22" i="7"/>
  <c r="Y22" i="7" s="1"/>
  <c r="V22" i="7"/>
  <c r="J16" i="6"/>
  <c r="V23" i="7"/>
  <c r="R23" i="7"/>
  <c r="Y23" i="7" s="1"/>
  <c r="R14" i="7"/>
  <c r="Y14" i="7" s="1"/>
  <c r="V14" i="7"/>
  <c r="R21" i="7"/>
  <c r="Y21" i="7" s="1"/>
  <c r="V21" i="7"/>
  <c r="V19" i="7"/>
  <c r="R19" i="7"/>
  <c r="Y19" i="7" s="1"/>
  <c r="J20" i="6"/>
  <c r="J14" i="6"/>
  <c r="J19" i="6"/>
  <c r="V16" i="7"/>
  <c r="R16" i="7"/>
  <c r="Y16" i="7" s="1"/>
  <c r="J18" i="6"/>
  <c r="R15" i="7"/>
  <c r="Y15" i="7" s="1"/>
  <c r="V15" i="7"/>
  <c r="J15" i="6"/>
  <c r="J23" i="6"/>
  <c r="V13" i="7"/>
  <c r="R13" i="7"/>
  <c r="Y13" i="7" s="1"/>
  <c r="J17" i="6"/>
  <c r="J22" i="6"/>
  <c r="J21" i="6"/>
  <c r="J13" i="6"/>
  <c r="R18" i="7"/>
  <c r="Y18" i="7" s="1"/>
  <c r="V18" i="7"/>
  <c r="H17" i="6" l="1"/>
  <c r="P17" i="7"/>
  <c r="G17" i="8"/>
  <c r="G12" i="6"/>
  <c r="O12" i="7"/>
  <c r="H16" i="6"/>
  <c r="P16" i="7"/>
  <c r="G16" i="8"/>
  <c r="H19" i="6"/>
  <c r="P19" i="7"/>
  <c r="G19" i="8"/>
  <c r="P23" i="7"/>
  <c r="H23" i="6"/>
  <c r="G23" i="8"/>
  <c r="H18" i="6"/>
  <c r="P18" i="7"/>
  <c r="G18" i="8"/>
  <c r="P15" i="7"/>
  <c r="H15" i="6"/>
  <c r="G15" i="8"/>
  <c r="P14" i="7"/>
  <c r="H14" i="6"/>
  <c r="G14" i="8"/>
  <c r="H21" i="6"/>
  <c r="P21" i="7"/>
  <c r="G21" i="8"/>
  <c r="H22" i="6"/>
  <c r="P22" i="7"/>
  <c r="G22" i="8"/>
  <c r="H20" i="6"/>
  <c r="P20" i="7"/>
  <c r="G20" i="8"/>
  <c r="P13" i="7"/>
  <c r="H13" i="6"/>
  <c r="G13" i="8"/>
  <c r="S23" i="7" l="1"/>
  <c r="Z23" i="7" s="1"/>
  <c r="AA23" i="7" s="1"/>
  <c r="W23" i="7"/>
  <c r="X23" i="7" s="1"/>
  <c r="Q23" i="7"/>
  <c r="T23" i="7" s="1"/>
  <c r="S21" i="7"/>
  <c r="Z21" i="7" s="1"/>
  <c r="AA21" i="7" s="1"/>
  <c r="W21" i="7"/>
  <c r="X21" i="7" s="1"/>
  <c r="Q21" i="7"/>
  <c r="T21" i="7" s="1"/>
  <c r="K21" i="6"/>
  <c r="I21" i="6"/>
  <c r="L21" i="6" s="1"/>
  <c r="K22" i="6"/>
  <c r="I22" i="6"/>
  <c r="L22" i="6" s="1"/>
  <c r="K18" i="6"/>
  <c r="I18" i="6"/>
  <c r="L18" i="6" s="1"/>
  <c r="S16" i="7"/>
  <c r="Z16" i="7" s="1"/>
  <c r="AA16" i="7" s="1"/>
  <c r="W16" i="7"/>
  <c r="X16" i="7" s="1"/>
  <c r="Q16" i="7"/>
  <c r="T16" i="7" s="1"/>
  <c r="S22" i="7"/>
  <c r="Z22" i="7" s="1"/>
  <c r="AA22" i="7" s="1"/>
  <c r="W22" i="7"/>
  <c r="X22" i="7" s="1"/>
  <c r="Q22" i="7"/>
  <c r="T22" i="7" s="1"/>
  <c r="K16" i="6"/>
  <c r="I16" i="6"/>
  <c r="L16" i="6" s="1"/>
  <c r="K23" i="6"/>
  <c r="I23" i="6"/>
  <c r="L23" i="6" s="1"/>
  <c r="R12" i="7"/>
  <c r="V12" i="7"/>
  <c r="S19" i="7"/>
  <c r="Z19" i="7" s="1"/>
  <c r="AA19" i="7" s="1"/>
  <c r="W19" i="7"/>
  <c r="X19" i="7" s="1"/>
  <c r="Q19" i="7"/>
  <c r="T19" i="7" s="1"/>
  <c r="K19" i="6"/>
  <c r="I19" i="6"/>
  <c r="L19" i="6" s="1"/>
  <c r="J12" i="6"/>
  <c r="J27" i="6" s="1"/>
  <c r="K14" i="6"/>
  <c r="I14" i="6"/>
  <c r="L14" i="6" s="1"/>
  <c r="W14" i="7"/>
  <c r="X14" i="7" s="1"/>
  <c r="S14" i="7"/>
  <c r="Z14" i="7" s="1"/>
  <c r="AA14" i="7" s="1"/>
  <c r="Q14" i="7"/>
  <c r="T14" i="7" s="1"/>
  <c r="K15" i="6"/>
  <c r="I15" i="6"/>
  <c r="L15" i="6" s="1"/>
  <c r="W15" i="7"/>
  <c r="X15" i="7" s="1"/>
  <c r="S15" i="7"/>
  <c r="Z15" i="7" s="1"/>
  <c r="AA15" i="7" s="1"/>
  <c r="Q15" i="7"/>
  <c r="T15" i="7" s="1"/>
  <c r="S17" i="7"/>
  <c r="Z17" i="7" s="1"/>
  <c r="AA17" i="7" s="1"/>
  <c r="W17" i="7"/>
  <c r="X17" i="7" s="1"/>
  <c r="Q17" i="7"/>
  <c r="T17" i="7" s="1"/>
  <c r="K13" i="6"/>
  <c r="I13" i="6"/>
  <c r="L13" i="6" s="1"/>
  <c r="W13" i="7"/>
  <c r="X13" i="7" s="1"/>
  <c r="S13" i="7"/>
  <c r="Z13" i="7" s="1"/>
  <c r="AA13" i="7" s="1"/>
  <c r="Q13" i="7"/>
  <c r="T13" i="7" s="1"/>
  <c r="S20" i="7"/>
  <c r="Z20" i="7" s="1"/>
  <c r="AA20" i="7" s="1"/>
  <c r="W20" i="7"/>
  <c r="X20" i="7" s="1"/>
  <c r="Q20" i="7"/>
  <c r="T20" i="7" s="1"/>
  <c r="K20" i="6"/>
  <c r="I20" i="6"/>
  <c r="L20" i="6" s="1"/>
  <c r="Q18" i="7"/>
  <c r="T18" i="7" s="1"/>
  <c r="S18" i="7"/>
  <c r="Z18" i="7" s="1"/>
  <c r="AA18" i="7" s="1"/>
  <c r="W18" i="7"/>
  <c r="X18" i="7" s="1"/>
  <c r="K17" i="6"/>
  <c r="I17" i="6"/>
  <c r="L17" i="6" s="1"/>
  <c r="H12" i="6" l="1"/>
  <c r="P12" i="7"/>
  <c r="G12" i="8"/>
  <c r="Y12" i="7"/>
  <c r="R27" i="7"/>
  <c r="Y27" i="7" l="1"/>
  <c r="W12" i="7"/>
  <c r="X12" i="7" s="1"/>
  <c r="S12" i="7"/>
  <c r="Q12" i="7"/>
  <c r="T12" i="7" s="1"/>
  <c r="T27" i="7" s="1"/>
  <c r="K12" i="6"/>
  <c r="K27" i="6" s="1"/>
  <c r="I12" i="6"/>
  <c r="L12" i="6" s="1"/>
  <c r="L27" i="6" s="1"/>
  <c r="AI43" i="7" l="1"/>
  <c r="AJ43" i="7" s="1"/>
  <c r="S27" i="7"/>
  <c r="Z12" i="7"/>
  <c r="Z27" i="7" l="1"/>
  <c r="AA12" i="7"/>
  <c r="AA27" i="7" s="1"/>
  <c r="E13" i="10" l="1"/>
  <c r="F25" i="8" l="1"/>
  <c r="F13" i="10"/>
  <c r="G9" i="10"/>
  <c r="G13" i="10" s="1"/>
  <c r="O28" i="7"/>
  <c r="G34" i="6"/>
  <c r="G25" i="8" l="1"/>
  <c r="H34" i="6"/>
  <c r="K34" i="6" s="1"/>
  <c r="K40" i="6" s="1"/>
  <c r="K42" i="6" s="1"/>
  <c r="K44" i="6" s="1"/>
  <c r="K46" i="6" s="1"/>
  <c r="P28" i="7"/>
  <c r="Q28" i="7" s="1"/>
  <c r="T28" i="7" s="1"/>
  <c r="J34" i="6"/>
  <c r="J40" i="6" s="1"/>
  <c r="J42" i="6" s="1"/>
  <c r="J44" i="6" s="1"/>
  <c r="J46" i="6" s="1"/>
  <c r="R28" i="7"/>
  <c r="V28" i="7"/>
  <c r="I34" i="6" l="1"/>
  <c r="L34" i="6" s="1"/>
  <c r="L40" i="6" s="1"/>
  <c r="L42" i="6" s="1"/>
  <c r="L44" i="6" s="1"/>
  <c r="L46" i="6" s="1"/>
  <c r="L48" i="6" s="1"/>
  <c r="S28" i="7"/>
  <c r="W28" i="7"/>
  <c r="X28" i="7" s="1"/>
  <c r="G12" i="17"/>
  <c r="G20" i="17" s="1"/>
  <c r="K48" i="6"/>
  <c r="AI44" i="7"/>
  <c r="T42" i="7"/>
  <c r="Y28" i="7"/>
  <c r="R42" i="7"/>
  <c r="R49" i="7" s="1"/>
  <c r="J48" i="6"/>
  <c r="F12" i="17"/>
  <c r="H13" i="22" l="1"/>
  <c r="H15" i="22" s="1"/>
  <c r="K23" i="16"/>
  <c r="K25" i="16" s="1"/>
  <c r="Z28" i="7"/>
  <c r="Z42" i="7" s="1"/>
  <c r="Z49" i="7" s="1"/>
  <c r="K49" i="6" s="1"/>
  <c r="K50" i="6" s="1"/>
  <c r="S42" i="7"/>
  <c r="S49" i="7" s="1"/>
  <c r="T49" i="7" s="1"/>
  <c r="H12" i="17"/>
  <c r="Y42" i="7"/>
  <c r="Y49" i="7" s="1"/>
  <c r="J49" i="6" s="1"/>
  <c r="J50" i="6" s="1"/>
  <c r="AA28" i="7" l="1"/>
  <c r="AA42" i="7" s="1"/>
  <c r="AA49" i="7" l="1"/>
  <c r="L49" i="6" s="1"/>
  <c r="L50" i="6" s="1"/>
  <c r="AJ54" i="7" l="1"/>
  <c r="F31" i="8" l="1"/>
  <c r="E31" i="8" l="1"/>
  <c r="G30" i="8"/>
  <c r="G31" i="8" l="1"/>
  <c r="I13" i="29" l="1"/>
  <c r="I14" i="29" l="1"/>
  <c r="I11" i="29" l="1"/>
  <c r="I12" i="29"/>
  <c r="G10" i="29"/>
  <c r="I10" i="29" l="1"/>
  <c r="G16" i="29"/>
  <c r="I16" i="29" l="1"/>
  <c r="G17" i="29"/>
  <c r="I17" i="29" l="1"/>
  <c r="F16" i="17"/>
  <c r="H16" i="17" l="1"/>
  <c r="F20" i="17"/>
  <c r="K13" i="16" l="1"/>
  <c r="H20" i="17"/>
  <c r="G13" i="22"/>
  <c r="G15" i="22" l="1"/>
  <c r="I15" i="22" s="1"/>
  <c r="I13" i="22"/>
  <c r="K33" i="16"/>
  <c r="K35" i="16" s="1"/>
  <c r="K15" i="16"/>
</calcChain>
</file>

<file path=xl/sharedStrings.xml><?xml version="1.0" encoding="utf-8"?>
<sst xmlns="http://schemas.openxmlformats.org/spreadsheetml/2006/main" count="1871" uniqueCount="914">
  <si>
    <t xml:space="preserve">Regulatory disclosure of the
 Annual Compliance Statement as required by </t>
  </si>
  <si>
    <t>Part 5 of the Transpower Individual Price-Quality Path Determination 2020 ("IPP")</t>
  </si>
  <si>
    <t>for the period</t>
  </si>
  <si>
    <t>1 July 2024 to 30 June 2025</t>
  </si>
  <si>
    <t>Published on: 24 October 2025</t>
  </si>
  <si>
    <t>Workbook contents</t>
  </si>
  <si>
    <t>This workbook contains the disclosure of our Annual Compliance Statement (ACS) as required by our Individual Price-Quality Path Determination (IPP) and the additional information the ACS must include. These disclosures relate principally to our annual wash-up calculation (i.e. the calculation of the economic gain or loss for the disclosure year), the related adjustments to the Economic Value (EV) account and Transpower's performance in relation to the Grid Output measures for which quality standards have been set. This workbook also contains an alternative wash-up calculation (Tab 5) that is mathematically identical to the approach mandated by the IPP (Tab 4), but which applies a full bottom-up building blocks methodology. We consider this approach more intuitive and transparent than the approach we must follow under the IPP determination .</t>
  </si>
  <si>
    <t>The IPP determination requires additional information to be disclosed alongside the ACS relating to asset and grid performance. These disclosures are made separately, but at the same time as the ACS.</t>
  </si>
  <si>
    <t>Accompanying this workbook is another workbook that includes the information required by our Information Disclosure Determination. Those disclosures supplement these, and include information relating to other aspects of our regulated business such as our regulated asset base, major capital projects, profit and return on investment, customer investment contracts, system statistics, demand and injection amounts and more detailed network performance data.</t>
  </si>
  <si>
    <r>
      <t xml:space="preserve">The Annual Compliance Statement </t>
    </r>
    <r>
      <rPr>
        <sz val="11"/>
        <color theme="1"/>
        <rFont val="Calibri"/>
        <family val="2"/>
        <scheme val="minor"/>
      </rPr>
      <t>(Transpower IPP determination 2020, Part 5, clause 23)</t>
    </r>
    <r>
      <rPr>
        <b/>
        <sz val="11"/>
        <color theme="1"/>
        <rFont val="Calibri"/>
        <family val="2"/>
        <scheme val="minor"/>
      </rPr>
      <t xml:space="preserve"> - </t>
    </r>
    <r>
      <rPr>
        <b/>
        <sz val="11"/>
        <color rgb="FFC00000"/>
        <rFont val="Calibri"/>
        <family val="2"/>
        <scheme val="minor"/>
      </rPr>
      <t>Tab colour red</t>
    </r>
  </si>
  <si>
    <t>Workbook location</t>
  </si>
  <si>
    <t>IPP reference</t>
  </si>
  <si>
    <t>Tab 1</t>
  </si>
  <si>
    <t>Transpower IPP determination 2020, Part 5, clause 23.2.1 and 23.2.5/6</t>
  </si>
  <si>
    <t>Tab 2</t>
  </si>
  <si>
    <t>Transpower IPP determination 2020, Part 5, clause 23.2.2/3/4</t>
  </si>
  <si>
    <t>Tab 3</t>
  </si>
  <si>
    <t>Transpower IPP determination 2020, Part 5, clause 23.2.7</t>
  </si>
  <si>
    <r>
      <t xml:space="preserve">The Annual Compliance Statement - information requirements </t>
    </r>
    <r>
      <rPr>
        <sz val="11"/>
        <color theme="1"/>
        <rFont val="Calibri"/>
        <family val="2"/>
        <scheme val="minor"/>
      </rPr>
      <t>(Transpower IPP determination 2020, Part 5, clause 24)</t>
    </r>
    <r>
      <rPr>
        <b/>
        <sz val="11"/>
        <color theme="1"/>
        <rFont val="Calibri"/>
        <family val="2"/>
        <scheme val="minor"/>
      </rPr>
      <t xml:space="preserve"> - </t>
    </r>
    <r>
      <rPr>
        <b/>
        <sz val="11"/>
        <color rgb="FF92D050"/>
        <rFont val="Calibri"/>
        <family val="2"/>
        <scheme val="minor"/>
      </rPr>
      <t>Tab colour green</t>
    </r>
  </si>
  <si>
    <t>Tab 4</t>
  </si>
  <si>
    <t>Transpower IPP determination 2020, Part 5, clause 24.1.1</t>
  </si>
  <si>
    <t>Tab 5</t>
  </si>
  <si>
    <t>Transpower IPP determination 2020, Part 5, clause 24.1.2</t>
  </si>
  <si>
    <t>Tab 6</t>
  </si>
  <si>
    <t>Transpower IPP determination 2020, Part 5, clause 24.1.3</t>
  </si>
  <si>
    <t>Transpower IPP determination 2020, Part 5, clause 24.1.4</t>
  </si>
  <si>
    <t>Transpower IPP determination 2020, Part 5, clause 24.1.5</t>
  </si>
  <si>
    <t>Tab 7</t>
  </si>
  <si>
    <t>Transpower IPP determination 2020, Part 5, clause 24.1.6</t>
  </si>
  <si>
    <t>Tab 8</t>
  </si>
  <si>
    <t>Tab 9</t>
  </si>
  <si>
    <t>Transpower IPP determination 2020, Part 5, clause 24.1.7</t>
  </si>
  <si>
    <t>Transpower IPP determination 2020, Part 5, clause 24.1.7 (a)</t>
  </si>
  <si>
    <t>Transpower IPP determination 2020, Part 5, clause 24.1.7 (b)</t>
  </si>
  <si>
    <t>Tab 10</t>
  </si>
  <si>
    <t>Transpower IPP determination 2020, Part 5, clause 24.1.8</t>
  </si>
  <si>
    <t>Tab 11</t>
  </si>
  <si>
    <t>Transpower IPP determination 2020, Part 5, clause 24.1.9</t>
  </si>
  <si>
    <t>Transpower IPP determination 2020, Part 5, clause 24.1.10</t>
  </si>
  <si>
    <t>Transpower IPP determination 2020, Part 5, clause 24.1.11</t>
  </si>
  <si>
    <r>
      <t xml:space="preserve">Supporting information </t>
    </r>
    <r>
      <rPr>
        <sz val="11"/>
        <color theme="1"/>
        <rFont val="Calibri"/>
        <family val="2"/>
        <scheme val="minor"/>
      </rPr>
      <t>(Transpower IPP determination 2020, Part 5, clauses 29 and 31)</t>
    </r>
    <r>
      <rPr>
        <b/>
        <sz val="11"/>
        <color theme="1"/>
        <rFont val="Calibri"/>
        <family val="2"/>
        <scheme val="minor"/>
      </rPr>
      <t xml:space="preserve"> - </t>
    </r>
    <r>
      <rPr>
        <b/>
        <sz val="11"/>
        <color theme="4" tint="-0.249977111117893"/>
        <rFont val="Calibri"/>
        <family val="2"/>
        <scheme val="minor"/>
      </rPr>
      <t>Tab colour blue</t>
    </r>
  </si>
  <si>
    <t>n/a - this is not an IPP requirement. It is an alternative approach to calculating the ex-post economic gain or loss for the disclosure year</t>
  </si>
  <si>
    <t>Tab 12</t>
  </si>
  <si>
    <t>Transpower IPP determination 2020, Part 5, clauses 29.1.2 and 29.1.3</t>
  </si>
  <si>
    <t>Tab 13</t>
  </si>
  <si>
    <t>Transpower IPP determination 2020, Part 5, clause 29.1.5</t>
  </si>
  <si>
    <t>Tab 14</t>
  </si>
  <si>
    <t>Transpower IPP determination 2020, Part 5, clauses 29.1.6, 29.2 and 33.2</t>
  </si>
  <si>
    <t>Tab 15</t>
  </si>
  <si>
    <t>Tab 16</t>
  </si>
  <si>
    <t>Transpower IPP determination 2020, Part 5, clauses 31.1.1 (c) and 31.1.3</t>
  </si>
  <si>
    <t>Tab 17</t>
  </si>
  <si>
    <t>Transpower IPP determination 2020, Part 5, clause 31.1.3 (g)</t>
  </si>
  <si>
    <t>Tab 18</t>
  </si>
  <si>
    <t>Transpower IPP determination 2020, Part 5, clause 31.1.3 (h)</t>
  </si>
  <si>
    <t>Tab 19</t>
  </si>
  <si>
    <t>Transpower IPP determination 2020, Part 5, clause 31.1.3 (f)</t>
  </si>
  <si>
    <t>Tab 20</t>
  </si>
  <si>
    <t>Transpower IPP determination 2020, Part 5, Schedule C4 in combination with clause 29.2</t>
  </si>
  <si>
    <t>Tab 21</t>
  </si>
  <si>
    <t>Transpower IPP determination 2020, Part 5, clause 31.2.7/8/9</t>
  </si>
  <si>
    <r>
      <t xml:space="preserve">Compliance checklist for supporting information - </t>
    </r>
    <r>
      <rPr>
        <b/>
        <sz val="11"/>
        <color rgb="FFFFFF00"/>
        <rFont val="Calibri"/>
        <family val="2"/>
        <scheme val="minor"/>
      </rPr>
      <t>Tab colour yellow</t>
    </r>
  </si>
  <si>
    <t>Tab 22</t>
  </si>
  <si>
    <t>Transpower IPP determination 2020, Part 5, clause 29</t>
  </si>
  <si>
    <t>Tab 23</t>
  </si>
  <si>
    <t>Transpower IPP determination 2020, Part 5, clause 31</t>
  </si>
  <si>
    <t>Tab 2(a)</t>
  </si>
  <si>
    <t>The Annual Compliance Statement - Part 1</t>
  </si>
  <si>
    <t>Preparation date:</t>
  </si>
  <si>
    <t>Transpower-Individual-Price-Quality-Path-Determination-2019-2020-NZCC-19-14-November-2019.PDF (comcom.govt.nz)</t>
  </si>
  <si>
    <t>Transpower has complied with</t>
  </si>
  <si>
    <t>Yes/No</t>
  </si>
  <si>
    <t>- the quality standards in clause 14.1</t>
  </si>
  <si>
    <t>Not applicable</t>
  </si>
  <si>
    <t>Transpower IPP determination 2020, Part 5, clause 23.2.1(a)</t>
  </si>
  <si>
    <t>- the quality standards in clause 14.2</t>
  </si>
  <si>
    <t>- the quality standards in clause 14.3</t>
  </si>
  <si>
    <t>- the quality standards in clause 14.4</t>
  </si>
  <si>
    <t>Yes</t>
  </si>
  <si>
    <t>- the quality standards in clause 16.1</t>
  </si>
  <si>
    <t>- the quality standards in clause 16.2</t>
  </si>
  <si>
    <t>- the quality standards in clause 16.3</t>
  </si>
  <si>
    <t>- the quality standards in clause 16.4</t>
  </si>
  <si>
    <t>- the quality standards in clause 17.1</t>
  </si>
  <si>
    <t>- the quality standards in clause 18.1</t>
  </si>
  <si>
    <t>No</t>
  </si>
  <si>
    <t>- the quality standards in clause 21.2</t>
  </si>
  <si>
    <t>- the requirement to publicly disclose, in accordance with the ID determination, its annual grid output adjustment calculation for the disclosure year, including the values for ‘m’ calculated in accordance with Schedule B, clause B2(1) of the Capex IM</t>
  </si>
  <si>
    <t>Transpower IPP determination 2020, Part 5, clause 23.2.1(b)</t>
  </si>
  <si>
    <t>- requirements related to grid output adjustment calculations and public disclosure</t>
  </si>
  <si>
    <t>Transpower IPP determination 2020, Part 5, clause 23.2.1(c)</t>
  </si>
  <si>
    <t>- requirements related to wash-up calculations and public disclosure</t>
  </si>
  <si>
    <t>Transpower IPP determination 2020, Part 5, clause 23.2.1(d)</t>
  </si>
  <si>
    <r>
      <rPr>
        <b/>
        <sz val="11"/>
        <color theme="1"/>
        <rFont val="Calibri"/>
        <family val="2"/>
        <scheme val="minor"/>
      </rPr>
      <t>TRANSPOWER NEW ZEALAND LIMITED
Individual Price-Quality Path (IPP) Annual Compliance Statement 1 July 2025 to June 2025</t>
    </r>
    <r>
      <rPr>
        <sz val="11"/>
        <color theme="1"/>
        <rFont val="Calibri"/>
        <family val="2"/>
        <scheme val="minor"/>
      </rPr>
      <t xml:space="preserve">
</t>
    </r>
  </si>
  <si>
    <t>The Annual Compliance Statement - Part 2</t>
  </si>
  <si>
    <t>Measure and category</t>
  </si>
  <si>
    <t>Cap</t>
  </si>
  <si>
    <t>Target</t>
  </si>
  <si>
    <t>Collar</t>
  </si>
  <si>
    <t>Quality Standard/Point of service sub-category limits - DY2021</t>
  </si>
  <si>
    <t>Quality Standard/Point of service sub-category limits - DY2022</t>
  </si>
  <si>
    <t>Quality Standard/Point of service sub-category limits - DY2023</t>
  </si>
  <si>
    <t>Quality Standard/Point of service sub-category limits - DY2024</t>
  </si>
  <si>
    <t>Quality Standard/Point of service sub-category limits - DY2025</t>
  </si>
  <si>
    <t>Assessed value
DY2021</t>
  </si>
  <si>
    <t>Assessed value
DY2022</t>
  </si>
  <si>
    <t>Assessed value
DY2023</t>
  </si>
  <si>
    <t>Assessed value
DY2024</t>
  </si>
  <si>
    <t>Assessed value
DY2025</t>
  </si>
  <si>
    <t>Complied with POS sub-category Limit DY2021</t>
  </si>
  <si>
    <t>Complied with 14.1.2 and 16.1.2</t>
  </si>
  <si>
    <t>Complied with Quality Standard DY2021</t>
  </si>
  <si>
    <t>Complied with POS sub-category Limit DY2022</t>
  </si>
  <si>
    <t>Complied with 14.1.1 and 16.1.1</t>
  </si>
  <si>
    <t>Complied with Quality Standard DY2022</t>
  </si>
  <si>
    <t>Complied with POS sub-category Limit DY2023</t>
  </si>
  <si>
    <t>Complied with 14.2.1 and 16.2.1</t>
  </si>
  <si>
    <t>Complied with Quality Standard DY2023</t>
  </si>
  <si>
    <t>Complied with POS sub-category Limit DY2024</t>
  </si>
  <si>
    <t>Complied with 14.3.1 and 16.3.1</t>
  </si>
  <si>
    <t>Complied with Quality Standard DY2024</t>
  </si>
  <si>
    <t>Complied with POS sub-category Limit DY2025</t>
  </si>
  <si>
    <t>Complied with 14.4.1 and 16.4.1</t>
  </si>
  <si>
    <t>Complied with Quality Standard DY2025</t>
  </si>
  <si>
    <t>Term</t>
  </si>
  <si>
    <t>k</t>
  </si>
  <si>
    <t>n</t>
  </si>
  <si>
    <t>j</t>
  </si>
  <si>
    <t>m</t>
  </si>
  <si>
    <t>GP1: Number of interruptions (per annum)</t>
  </si>
  <si>
    <t>See Notes below this Table</t>
  </si>
  <si>
    <t>Not Applicable
as per clause 12.1</t>
  </si>
  <si>
    <t>N-1 security high economic consequence</t>
  </si>
  <si>
    <t>N-1 security material economic consequence</t>
  </si>
  <si>
    <t>N security high economic consequence</t>
  </si>
  <si>
    <t>N security material economic consequence</t>
  </si>
  <si>
    <t>N-1 security generator</t>
  </si>
  <si>
    <t>N security generator</t>
  </si>
  <si>
    <t>GP2: Average duration of interruption (min)</t>
  </si>
  <si>
    <t>Not Applicable
as per clause 12.2</t>
  </si>
  <si>
    <t>AP1: HVDC availability (%)</t>
  </si>
  <si>
    <t>HVDC availability</t>
  </si>
  <si>
    <t>AP2: HVAC availability (%)</t>
  </si>
  <si>
    <t>HVAC availability</t>
  </si>
  <si>
    <t>Asset Health (%)</t>
  </si>
  <si>
    <t xml:space="preserve">Power Transformers </t>
  </si>
  <si>
    <t>Outdoor circuit Breakers</t>
  </si>
  <si>
    <t>The information reasonably necessary to demonstrate compliance with the quality standards in clauses 14.1-14.4, 16.1-16.4, 17.1, 18.1 and 21.2</t>
  </si>
  <si>
    <t>Transpower IPP determination 2020, Part 5, clause 23.2.2</t>
  </si>
  <si>
    <t>Any quality standards Transpower has not complied with</t>
  </si>
  <si>
    <t>Transpower IPP determination 2020, Part 5, clause 23.2.3(a)</t>
  </si>
  <si>
    <t>AP2: HVAC Availability</t>
  </si>
  <si>
    <t>The reasons for any quality standards Transpower has not complied with</t>
  </si>
  <si>
    <t>Transpower IPP determination 2020, Part 5, clause 23.2.3(b)</t>
  </si>
  <si>
    <t>Performance information</t>
  </si>
  <si>
    <t>Transpower IPP determination 2020, Part 5, clause 23.2.4(a)-(e)
(a) for measure of grid performance GP1: assessed values for the disclosure year of each point of service sub-category against the caps, grid output targets, collars and point of service sub-category limits in Table 4.1 and the relevant quality standard in clause 14 for that disclosure year.</t>
  </si>
  <si>
    <t>See above table - Cells Q8-Q13</t>
  </si>
  <si>
    <t xml:space="preserve">
(b) for measure of grid performance GP2: assessed values for the disclosure year of each point of service sub-category against the caps, grid output targets, collars and point of service sub-category limits in Table 4.1 and the relevant quality standard in clause 16 for that disclosure year.</t>
  </si>
  <si>
    <t>See above table - Cells Q15-Q20</t>
  </si>
  <si>
    <t xml:space="preserve">
(c) for asset performance measure AP1: assessed values for the disclosure year against the cap, grid output target and collar in Table 4.2, and the quality standard in clause 17.1</t>
  </si>
  <si>
    <t>See above table - Cell Q22</t>
  </si>
  <si>
    <t xml:space="preserve">
(d) for asset performance measure AP2: assessed values for the disclosure year against the cap, grid output target and collar in Table 4.2, and the quality standard in clause 18.1</t>
  </si>
  <si>
    <t>See above table - Cell Q24</t>
  </si>
  <si>
    <t xml:space="preserve">
(e) for asset health measure AH: assessed values for the disclosure year of each asset health measure asset class in Table 4.3 against the quality standard in clause 21.2</t>
  </si>
  <si>
    <t>See above table - Cells Q26-Q27</t>
  </si>
  <si>
    <t xml:space="preserve">The ex-post economic gain or loss for the disclosure year, calculated in accordance with clause 29.1 and Schedule E </t>
  </si>
  <si>
    <t>Schedule E: Wash-up building blocks calculation</t>
  </si>
  <si>
    <t>all $m</t>
  </si>
  <si>
    <t>Wash-up building block</t>
  </si>
  <si>
    <t>Description of nominal value to be applied</t>
  </si>
  <si>
    <t>Schedule E reference</t>
  </si>
  <si>
    <t>Cash flow timing factor</t>
  </si>
  <si>
    <t>HVAC (nominal value)</t>
  </si>
  <si>
    <t>HVDC (nominal value)</t>
  </si>
  <si>
    <t>Total (nominal value)</t>
  </si>
  <si>
    <t>HVAC (wash-up value)</t>
  </si>
  <si>
    <t>HVDC (wash-up value)</t>
  </si>
  <si>
    <t>Total (wash-up value)</t>
  </si>
  <si>
    <t>Schedule E column</t>
  </si>
  <si>
    <t>Column 1</t>
  </si>
  <si>
    <t>Column 2</t>
  </si>
  <si>
    <t>Column 4</t>
  </si>
  <si>
    <t>Column 3</t>
  </si>
  <si>
    <t>Column 5</t>
  </si>
  <si>
    <t>WACC</t>
  </si>
  <si>
    <t>A1</t>
  </si>
  <si>
    <t>WACC return on opening RAB value</t>
  </si>
  <si>
    <t xml:space="preserve">Opening RAB value </t>
  </si>
  <si>
    <t>B</t>
  </si>
  <si>
    <t>WACC return on value of commissioned assets - July</t>
  </si>
  <si>
    <t>Value of commissioned assets - July</t>
  </si>
  <si>
    <t>C1</t>
  </si>
  <si>
    <t>WACC return on value of commissioned assets - August</t>
  </si>
  <si>
    <t>Value of commissioned assets - August</t>
  </si>
  <si>
    <t>C2</t>
  </si>
  <si>
    <t>WACC return on value of commissioned assets - September</t>
  </si>
  <si>
    <t>Value of commissioned assets - September</t>
  </si>
  <si>
    <t>C3</t>
  </si>
  <si>
    <t>WACC return on value of commissioned assets - October</t>
  </si>
  <si>
    <t>Value of commissioned assets - October</t>
  </si>
  <si>
    <t>C4</t>
  </si>
  <si>
    <t>WACC return on value of commissioned assets - November</t>
  </si>
  <si>
    <t>Value of commissioned assets - November</t>
  </si>
  <si>
    <t>C5</t>
  </si>
  <si>
    <t>WACC return on value of commissioned assets - December</t>
  </si>
  <si>
    <t>Value of commissioned assets - December</t>
  </si>
  <si>
    <t>C6</t>
  </si>
  <si>
    <t>WACC return on value of commissioned assets - January</t>
  </si>
  <si>
    <t>Value of commissioned assets - January</t>
  </si>
  <si>
    <t>C7</t>
  </si>
  <si>
    <t>WACC return on value of commissioned assets - February</t>
  </si>
  <si>
    <t>Value of commissioned assets - February</t>
  </si>
  <si>
    <t>C8</t>
  </si>
  <si>
    <t>WACC return on value of commissioned assets - March</t>
  </si>
  <si>
    <t>Value of commissioned assets - March</t>
  </si>
  <si>
    <t>C9</t>
  </si>
  <si>
    <t>WACC return on value of commissioned assets - April</t>
  </si>
  <si>
    <t>Value of commissioned assets - April</t>
  </si>
  <si>
    <t>C10</t>
  </si>
  <si>
    <t>WACC return on value of commissioned assets - May</t>
  </si>
  <si>
    <t>Value of commissioned assets - May</t>
  </si>
  <si>
    <t>C11</t>
  </si>
  <si>
    <t>WACC return on value of commissioned assets - June</t>
  </si>
  <si>
    <t>Value of commissioned assets - June</t>
  </si>
  <si>
    <t>C12</t>
  </si>
  <si>
    <t>WACC return on lost assets</t>
  </si>
  <si>
    <t>Opening RAB value of lost assets</t>
  </si>
  <si>
    <t>D</t>
  </si>
  <si>
    <t>WACC return on found assets</t>
  </si>
  <si>
    <t>Value of found assets</t>
  </si>
  <si>
    <t>E</t>
  </si>
  <si>
    <t>WACC return on disposed assets</t>
  </si>
  <si>
    <t>Opening RAB value of disposed assets</t>
  </si>
  <si>
    <t>F</t>
  </si>
  <si>
    <t>Total capital charge</t>
  </si>
  <si>
    <t>Sum of wash-up values from B through F</t>
  </si>
  <si>
    <t>G</t>
  </si>
  <si>
    <t>Transmission revenues received</t>
  </si>
  <si>
    <t>Actual transmission revenue</t>
  </si>
  <si>
    <t>H</t>
  </si>
  <si>
    <t xml:space="preserve">Voluntarily foregone revenues </t>
  </si>
  <si>
    <t>Transmission revenue foregone (permanent reduction)</t>
  </si>
  <si>
    <t>J</t>
  </si>
  <si>
    <t>Other regulated income</t>
  </si>
  <si>
    <t>K</t>
  </si>
  <si>
    <t>Gain/loss on disposal of assets</t>
  </si>
  <si>
    <t>Disposal proceeds less opening RAB value for disposed assets (incl. impairments)</t>
  </si>
  <si>
    <t>L</t>
  </si>
  <si>
    <t>Total income</t>
  </si>
  <si>
    <t>Sum of wash-up values from H through L</t>
  </si>
  <si>
    <t>M</t>
  </si>
  <si>
    <t>Operating expenditure</t>
  </si>
  <si>
    <t>Opex allowance (CPI adjusted)</t>
  </si>
  <si>
    <t>N</t>
  </si>
  <si>
    <t>Depreciation</t>
  </si>
  <si>
    <t>Depreciation (excl. depreciation on disposed assets)</t>
  </si>
  <si>
    <t>O</t>
  </si>
  <si>
    <t>Term credit spread differential (TCSD)</t>
  </si>
  <si>
    <t>TCSD allowance</t>
  </si>
  <si>
    <t>P</t>
  </si>
  <si>
    <t>Pass-through costs</t>
  </si>
  <si>
    <t>Pass-through costs (Schedule H, Formula F)</t>
  </si>
  <si>
    <t>Q</t>
  </si>
  <si>
    <t>Recoverable costs - non-IRIS</t>
  </si>
  <si>
    <t>Recoverable costs - non-IRIS (Schedule H, Formulae M - G )</t>
  </si>
  <si>
    <t>`</t>
  </si>
  <si>
    <t>Recoverable costs - IRIS</t>
  </si>
  <si>
    <t>Recoverable costs - IRIS (Schedule H, Formula G)</t>
  </si>
  <si>
    <t>Pass-through and recoverable costs wash-up</t>
  </si>
  <si>
    <t>As per IPP disclosure from two years prior</t>
  </si>
  <si>
    <t>Net operating profit/loss before tax</t>
  </si>
  <si>
    <t>M and wash-up values from N through Q</t>
  </si>
  <si>
    <t>R</t>
  </si>
  <si>
    <t>Tax</t>
  </si>
  <si>
    <t>Regulatory tax allowance</t>
  </si>
  <si>
    <t xml:space="preserve">S </t>
  </si>
  <si>
    <t>Net operating profit/loss after tax</t>
  </si>
  <si>
    <t>R and wash-up value from S</t>
  </si>
  <si>
    <t>T</t>
  </si>
  <si>
    <t>After-tax ex-post economic gain or loss</t>
  </si>
  <si>
    <t>G and T</t>
  </si>
  <si>
    <t>U</t>
  </si>
  <si>
    <t>Forecast EV adjustment included in forecast MAR</t>
  </si>
  <si>
    <t>Forecast EV adjustment before tax gross-up</t>
  </si>
  <si>
    <t>EV account entry</t>
  </si>
  <si>
    <t>U and S</t>
  </si>
  <si>
    <t>W</t>
  </si>
  <si>
    <t>EV adjustment before tax gross-up (from this profit-based calculation)</t>
  </si>
  <si>
    <t>EV adjustment before tax gross-up (from the full building block calculation - tab 5)</t>
  </si>
  <si>
    <t>Check (should be zero as both approaches are mathematically identical)</t>
  </si>
  <si>
    <t xml:space="preserve">A description and explanation of any voluntary revenue reduction Transpower has made in calculating the ex-post economic gain or loss for the disclosure year </t>
  </si>
  <si>
    <r>
      <rPr>
        <b/>
        <sz val="11"/>
        <color theme="1"/>
        <rFont val="Calibri"/>
        <family val="2"/>
        <scheme val="minor"/>
      </rPr>
      <t xml:space="preserve">Note: </t>
    </r>
    <r>
      <rPr>
        <sz val="11"/>
        <color theme="1"/>
        <rFont val="Calibri"/>
        <family val="2"/>
        <scheme val="minor"/>
      </rPr>
      <t xml:space="preserve">Schedule E, as it is drafted in the Transpower IPP determination 2020, does not provide a building block for the 'pass-through and recoverable costs wash-ups' that have arisen in RCP2 and are included in Transpower's MAR in the first two disclosure years in RCP3 (see comment in cell C39). In RCP2, the 'pass-through and recoverable costs wash-up' was captured in Schedule E under the 'sum of amounts in respect of pass-through costs and recoverable costs included in actual transmission revenue'. In RCP3, the only 'pass-through and recoverable costs' included in Transpower's revenue for which a dedicated building block is provided in Schedule E are those captured in Schedule H. Schedule H does not include 'pass-through and recoverable costs wash-ups' from RCP2 to be recovered in RCP3.
In order to calculate a correct 'after-tax ex-post economic gain or loss', it was agreed with the Commerce Commission that this calculation includes the actual 'pass-through and recoverable costs wash-up' for the disclosure years ending 2021 and 2022 as the Commerce Commission used forecasts of those to set Transpower's forecast MAR in those years. See the below excel workbook, sheet 'Revenue calc', row 45. Not including those 'pass-through and recoverable costs wash-ups' would provide for a slightly incorrect after-tax ex-post economic gain or loss. 
</t>
    </r>
  </si>
  <si>
    <t>Full building blocks calculation of the economic gain or loss for the disclosure year</t>
  </si>
  <si>
    <t>Schedule D: Forecast Maximum Allowable Revenue (MAR) building blocks calculation</t>
  </si>
  <si>
    <r>
      <t>Forecast MAR</t>
    </r>
    <r>
      <rPr>
        <sz val="8"/>
        <color theme="1"/>
        <rFont val="Calibri"/>
        <family val="2"/>
        <scheme val="minor"/>
      </rPr>
      <t xml:space="preserve"> - as determined in Transpower IPP determination 2020</t>
    </r>
  </si>
  <si>
    <r>
      <t>Ex-post values</t>
    </r>
    <r>
      <rPr>
        <sz val="8"/>
        <color theme="1"/>
        <rFont val="Calibri"/>
        <family val="2"/>
        <scheme val="minor"/>
      </rPr>
      <t xml:space="preserve"> - the actual revenue building blocks</t>
    </r>
  </si>
  <si>
    <r>
      <t>Wash-up values</t>
    </r>
    <r>
      <rPr>
        <sz val="8"/>
        <color theme="1"/>
        <rFont val="Calibri"/>
        <family val="2"/>
        <scheme val="minor"/>
      </rPr>
      <t xml:space="preserve"> - the difference between Forecast MAR and the ex-post values</t>
    </r>
  </si>
  <si>
    <t>MAR building block 
(forecast/ex-post</t>
  </si>
  <si>
    <t>Description of nominal value to be applied (forecast/ex-post)</t>
  </si>
  <si>
    <t>Schedule D reference</t>
  </si>
  <si>
    <t>Building block reference</t>
  </si>
  <si>
    <t>HVAC (building block value)</t>
  </si>
  <si>
    <t>HVDC (building block value)</t>
  </si>
  <si>
    <t>Total (building block value)</t>
  </si>
  <si>
    <t>Schedule D column</t>
  </si>
  <si>
    <t>Ex-post building blocks (Ex-post BB)</t>
  </si>
  <si>
    <t>Sum of building blocks values from 1 to 17</t>
  </si>
  <si>
    <t>Opex allowance</t>
  </si>
  <si>
    <t>Term credit spread differential</t>
  </si>
  <si>
    <t>Term credit spread differential allowance</t>
  </si>
  <si>
    <t>EV adjustment</t>
  </si>
  <si>
    <t>EV adjustment after tax gross-up</t>
  </si>
  <si>
    <t>I</t>
  </si>
  <si>
    <t>Voluntarily foregone revenues (DOES NOT WASH-UP)</t>
  </si>
  <si>
    <t>Other non-Schedule D building blocks (Other BB)</t>
  </si>
  <si>
    <t>Incremental revenue for major or listed projects approved in RCP3</t>
  </si>
  <si>
    <t>Incremental revenue as per Commerce Commission IPP re-opener</t>
  </si>
  <si>
    <t>Voluntarily foregone revenues (DOES WASH-UP)</t>
  </si>
  <si>
    <t>Transmission revenue foregone (temporary reduction)</t>
  </si>
  <si>
    <t>Tax on EV adjustment</t>
  </si>
  <si>
    <t>Total MAR</t>
  </si>
  <si>
    <t>Sum of building blocks values from 18 to 33</t>
  </si>
  <si>
    <t>Forecast MAR</t>
  </si>
  <si>
    <t>Ex post</t>
  </si>
  <si>
    <t>Ret/Rec</t>
  </si>
  <si>
    <t>ROI</t>
  </si>
  <si>
    <t>33</t>
  </si>
  <si>
    <t>Depr</t>
  </si>
  <si>
    <t>MAR smoothing adjustment</t>
  </si>
  <si>
    <t>Difference between MAR and SMAR as per IPP</t>
  </si>
  <si>
    <t>Opex All</t>
  </si>
  <si>
    <t>Revenue applied to TPM (Smoothed MAR)</t>
  </si>
  <si>
    <t>Sum of 34 and 35</t>
  </si>
  <si>
    <t>Reg Tax All</t>
  </si>
  <si>
    <t>Miscellaneous revenue received</t>
  </si>
  <si>
    <t>Actual miscellaneous revenue received</t>
  </si>
  <si>
    <t>Loss on Disposal</t>
  </si>
  <si>
    <t>Charging variations during the year</t>
  </si>
  <si>
    <t>Calculated (39-36-37)</t>
  </si>
  <si>
    <t xml:space="preserve">Revenue </t>
  </si>
  <si>
    <t>Sum of 36 to 38</t>
  </si>
  <si>
    <r>
      <rPr>
        <b/>
        <sz val="11"/>
        <color theme="1"/>
        <rFont val="Calibri"/>
        <family val="2"/>
        <scheme val="minor"/>
      </rPr>
      <t>Note:</t>
    </r>
    <r>
      <rPr>
        <sz val="11"/>
        <color theme="1"/>
        <rFont val="Calibri"/>
        <family val="2"/>
        <scheme val="minor"/>
      </rPr>
      <t xml:space="preserve"> The detail for the above total MAR and SMAR calculation is not in the Transpower IPP determination, but the workbook the Commerce Commission used to set the IPP and which is published on Transpower's website (link below)</t>
    </r>
  </si>
  <si>
    <t>Mar Smooth Adj</t>
  </si>
  <si>
    <t>Charging var &amp; other misc rev</t>
  </si>
  <si>
    <t>The forecast revenue for electricity transmission services used for setting charges under the TPM</t>
  </si>
  <si>
    <t>Net Washup recovered from customers</t>
  </si>
  <si>
    <t xml:space="preserve">HVAC </t>
  </si>
  <si>
    <t>HVDC</t>
  </si>
  <si>
    <t>Total</t>
  </si>
  <si>
    <t>Forecast revenue applied to the TPM</t>
  </si>
  <si>
    <t>Transmission revenue received for the pricing year</t>
  </si>
  <si>
    <t>Other regulated income received for the pricing year</t>
  </si>
  <si>
    <t>Transpower IPP determination 2020, Part 5, clause 24.1.3 and 24.1.4</t>
  </si>
  <si>
    <t>Transpower IPP determination 2020, Part 5, clause 29.1.10</t>
  </si>
  <si>
    <t>discrete input</t>
  </si>
  <si>
    <t>Transmission</t>
  </si>
  <si>
    <t>Interconnection charges</t>
  </si>
  <si>
    <t>plus</t>
  </si>
  <si>
    <t>Connection charges</t>
  </si>
  <si>
    <t>HVDC charges</t>
  </si>
  <si>
    <t>Prudent Discount Agreement (PDA) charges</t>
  </si>
  <si>
    <t>Connection Charges</t>
  </si>
  <si>
    <t>Benefit Based Charges</t>
  </si>
  <si>
    <t>Residual Charges</t>
  </si>
  <si>
    <t>Transitional Cap</t>
  </si>
  <si>
    <t>https://static.transpower.co.nz/public/uncontrolled_docs/RCP3%20-%20ACS%20disclosure%20workbook%202022-23%20final%20-%20signed.xlsx?VersionId=2AvVwPBSggChQqEz6j4Mqd4L1bZVZSkS</t>
  </si>
  <si>
    <t>% Split</t>
  </si>
  <si>
    <t>Note:</t>
  </si>
  <si>
    <t>The Commission has exempt Transpower from disclosing revenue splits between HVAC and HVDC at 30 June 2024</t>
  </si>
  <si>
    <t>Schedule 4 still uses the HVAC and HVDC splits to calculate the values for the EV Account</t>
  </si>
  <si>
    <t>We have used the values % split between the HVAC and HVDC revenues on the basis of the revenue for 31 March 2023 as the last time we had a split between HVAC and HVDC</t>
  </si>
  <si>
    <t>An updated summary of the EV account as set out in Schedule B</t>
  </si>
  <si>
    <t>a positive (+) account balance is a $ amount Transpower will return to customers</t>
  </si>
  <si>
    <t>Transpower IPP determination 2020, Part 5, clause 31.1.1</t>
  </si>
  <si>
    <t>a negative (-) account balance is a $ amount that  Transpower will recover from customers</t>
  </si>
  <si>
    <t>Schedule B: EV account summary</t>
  </si>
  <si>
    <t>Item</t>
  </si>
  <si>
    <t xml:space="preserve">Description </t>
  </si>
  <si>
    <t>Schedule B reference</t>
  </si>
  <si>
    <t>HVAC</t>
  </si>
  <si>
    <t xml:space="preserve">Total </t>
  </si>
  <si>
    <t>Schedule B column</t>
  </si>
  <si>
    <t>Opening EV account balance (for the disclosure year)</t>
  </si>
  <si>
    <t>Closing balance in the EV account for the previous disclosure year</t>
  </si>
  <si>
    <t>A</t>
  </si>
  <si>
    <t>Post-tax WACC</t>
  </si>
  <si>
    <t>The post-tax estimate corresponding to WACC</t>
  </si>
  <si>
    <t>Interest on opening EV account balance</t>
  </si>
  <si>
    <t xml:space="preserve">Opening EV account balance multiplied by the post-tax estimate corresponding to WACC </t>
  </si>
  <si>
    <t>C = A * B</t>
  </si>
  <si>
    <t>EV account entries</t>
  </si>
  <si>
    <t>The EV account entries calculated in accordance with clause 31.1 of the Transpower IPP determination 2020</t>
  </si>
  <si>
    <t>Post-tax amount included in calculating the forecast EV adjustment for the disclosure year in respect of the closing EV account balance for the final disclosure year of RCP2</t>
  </si>
  <si>
    <t>Amount for the disclosure year in RCP3 , as set out in clause 32.1 of the Transpower IPP determination 2020</t>
  </si>
  <si>
    <t>Closing EV account balance (for the disclosure year)</t>
  </si>
  <si>
    <t>F = A + C + D - E</t>
  </si>
  <si>
    <t>A description of the adjustment to the EV account from a normalisation event, where a normalisation event is excluded from a calculation made for a revenue-linked grid output measure</t>
  </si>
  <si>
    <t>Commission-decision-on-Transpowers-26-March-2024-normalisation-application-4-July-2024.pdf (comcom.govt.nz)</t>
  </si>
  <si>
    <t xml:space="preserve">Interruptions in relation to an approved normalisation event have been excluded from the calculations made in relation to measures of grid performance (specifically GP1 and GP2) in tab 2.  Details of normalisation event and approval can be found here https://comcom.govt.nz/__data/assets/pdf_file/0018/364302/Commission-decision-on-Transpower27s-normalisation-application-Tekapo-Timaru-30-January-2025.pdf
</t>
  </si>
  <si>
    <t>https://comcom.govt.nz/__data/assets/pdf_file/0029/360884/Commission-decision-on-Transpowers-26-March-2024-normalisation-application-4-July-2024.pdf</t>
  </si>
  <si>
    <t>An updated forecast EV account balance at the end of RCP3</t>
  </si>
  <si>
    <t>Transpower IPP determination 2020, Part 5, clause 31.1.2</t>
  </si>
  <si>
    <r>
      <t>Disclosure year</t>
    </r>
    <r>
      <rPr>
        <i/>
        <sz val="11"/>
        <color theme="0" tint="-0.499984740745262"/>
        <rFont val="Calibri"/>
        <family val="2"/>
        <scheme val="minor"/>
      </rPr>
      <t xml:space="preserve"> (finishing June)</t>
    </r>
  </si>
  <si>
    <t>Opening EV account balance multiplied by the post-tax estimate corresponding to WACC</t>
  </si>
  <si>
    <t>A plus sum of values from C to E</t>
  </si>
  <si>
    <r>
      <rPr>
        <b/>
        <sz val="11"/>
        <color theme="1"/>
        <rFont val="Calibri"/>
        <family val="2"/>
        <scheme val="minor"/>
      </rPr>
      <t>Note:</t>
    </r>
    <r>
      <rPr>
        <sz val="11"/>
        <color theme="1"/>
        <rFont val="Calibri"/>
        <family val="2"/>
        <scheme val="minor"/>
      </rPr>
      <t xml:space="preserve"> EV account entries for the remaining future disclosure years purely reflect timing differences in how Transpower collects its total maximum allowable revenue across RCP3. This is a result of the Commerce Commission setting a smoothed revenue path for Transpower in RCP3 (i.e. Transpower's maximum allowable revenue in RCP3 is levelised across the five years, smoothing the annual maximum allowable revenue (MAR) in net present value neutral terms across RCP3 (referred to as SMAR))</t>
    </r>
  </si>
  <si>
    <t>A summary of pass-through costs and recoverable costs for the disclosure year as set out in Schedule H</t>
  </si>
  <si>
    <t>Transpower IPP determination 2020, Part 5, clause 29.1.12</t>
  </si>
  <si>
    <t>Schedule H: Summary of actual pass-through costs and recoverable costs</t>
  </si>
  <si>
    <t>Schedule H reference</t>
  </si>
  <si>
    <t>Schedule H column</t>
  </si>
  <si>
    <t>Local authority rates</t>
  </si>
  <si>
    <t xml:space="preserve">Rates payable to a local authority on system fixed assets </t>
  </si>
  <si>
    <t>Commerce Act levies</t>
  </si>
  <si>
    <t>Levies payable in accordance with clause 3.1.2(2)(b)(i) of the Transpower IM</t>
  </si>
  <si>
    <t>Electricity Authority levies</t>
  </si>
  <si>
    <t xml:space="preserve">Levies payable in accordance with clause 3.1.2(2)(b)(ii) of the Transpower IM </t>
  </si>
  <si>
    <t>C</t>
  </si>
  <si>
    <t>Utilities Disputes Limited levies</t>
  </si>
  <si>
    <t xml:space="preserve">Levies payable in accordance with clause 3.1.2(2)(b)(iii) of the Transpower IM </t>
  </si>
  <si>
    <t>Other pass-through costs levies</t>
  </si>
  <si>
    <t>Any other levies that are pass-through costs in accordance with clause 3.1.2(1)(b) of the Transpower IM</t>
  </si>
  <si>
    <t>Total pass-through costs</t>
  </si>
  <si>
    <t>Sum of values from A to E</t>
  </si>
  <si>
    <t>Incremental rolling incentive scheme recoverable costs</t>
  </si>
  <si>
    <t>Sum of recoverable costs under the incremental rolling incentive scheme in accordance with clause 3.1.3(1)(a) of the Transpower IM</t>
  </si>
  <si>
    <t xml:space="preserve">Instantaneous reserves availability charge  </t>
  </si>
  <si>
    <t>Instantaneous reserves availability charges in accordance with clause 3.1.3(1)(b) of the Transpower IM</t>
  </si>
  <si>
    <t xml:space="preserve">Transmission alternative operating costs </t>
  </si>
  <si>
    <t>Transmission alternative operating costs in accordance with clause 3.1.3(1)(c) of the Transpower IM</t>
  </si>
  <si>
    <t>Operating costs incurred as part of a major capex project</t>
  </si>
  <si>
    <t>The amount of any operating costs that are recoverable costs in accordance with clause 3.1.3(1)(d) of the Transpower IM</t>
  </si>
  <si>
    <t>Net additional operating costs incurred in responding to a catastrophic event</t>
  </si>
  <si>
    <t>The amount of recoverable costs in accordance with clause 3.1.3(1)(e) of the Transpower IM</t>
  </si>
  <si>
    <t>Any levy payable to Fire and Emergency New Zealand under the Fire and Emergency New Zealand Act 2017</t>
  </si>
  <si>
    <t>The amount of recoverable costs in accordance with clause 3.1.3(1)(f) of the Transpower IM</t>
  </si>
  <si>
    <t>Total recoverable costs</t>
  </si>
  <si>
    <t>Sum of values from G to L</t>
  </si>
  <si>
    <t>Total pass-through and recoverable costs</t>
  </si>
  <si>
    <t>F+M</t>
  </si>
  <si>
    <t>A description and explanation of any opex incurred as part of a major capex project</t>
  </si>
  <si>
    <t>Transpower IPP determination 2020, Part 5, clause 24.1.7(a)</t>
  </si>
  <si>
    <t>n/a</t>
  </si>
  <si>
    <t>A summary of any prudent net additional opex incurred in responding to a catastrophic event, as determined by the Commission</t>
  </si>
  <si>
    <t>Transpower IPP determination 2020, Part 5, clause 24.1.7(b)</t>
  </si>
  <si>
    <t>An explanation for the differences between the forecast opex and actual opex, including for the operating lease payments otherwise capitalised in accordance with the Transpower IM</t>
  </si>
  <si>
    <r>
      <t xml:space="preserve">Forecast opex </t>
    </r>
    <r>
      <rPr>
        <sz val="8"/>
        <color theme="0" tint="-0.499984740745262"/>
        <rFont val="Calibri"/>
        <family val="2"/>
        <scheme val="minor"/>
      </rPr>
      <t>(excluding operating lease payments otherwise capitalised with the Transpower IM)</t>
    </r>
    <r>
      <rPr>
        <sz val="11"/>
        <color theme="0" tint="-0.499984740745262"/>
        <rFont val="Calibri"/>
        <family val="2"/>
        <scheme val="minor"/>
      </rPr>
      <t xml:space="preserve"> - </t>
    </r>
    <r>
      <rPr>
        <sz val="8"/>
        <color theme="0" tint="-0.499984740745262"/>
        <rFont val="Calibri"/>
        <family val="2"/>
        <scheme val="minor"/>
      </rPr>
      <t>updated for actual CPI</t>
    </r>
  </si>
  <si>
    <r>
      <t xml:space="preserve">Operating lease payments otherwise capitalised with the Transpower IM </t>
    </r>
    <r>
      <rPr>
        <sz val="8"/>
        <color theme="0" tint="-0.499984740745262"/>
        <rFont val="Calibri"/>
        <family val="2"/>
        <scheme val="minor"/>
      </rPr>
      <t>- updated for actual CPI</t>
    </r>
  </si>
  <si>
    <t>less</t>
  </si>
  <si>
    <t>Actual opex</t>
  </si>
  <si>
    <t>Actual operating lease payments otherwise capitalised with the Transpower IM</t>
  </si>
  <si>
    <t>Difference</t>
  </si>
  <si>
    <t>Explanation for the difference (the current disclosure year)</t>
  </si>
  <si>
    <t>Variance is driven by increase in insurance premiums and higher operational maintenance costs.</t>
  </si>
  <si>
    <t>Updated summaries of the approved base capex as set out in Schedules C1 to C4</t>
  </si>
  <si>
    <t>Schedule C1: Approved low incentive rate base capex summary - commissioned basis (including capitalised operating leases)</t>
  </si>
  <si>
    <t>Disclosure year ending</t>
  </si>
  <si>
    <t>Value of low incentive rate base capex allowance as determined 29 August 2019</t>
  </si>
  <si>
    <t>Incremental approved low incentive rate listed project base capex determined in 2020</t>
  </si>
  <si>
    <t>Incremental approved low incentive rate listed project base capex determined in 2021</t>
  </si>
  <si>
    <t>Incremental approved low incentive rate listed project base capex determined in 2022</t>
  </si>
  <si>
    <t>Incremental approved low incentive rate listed project base capex determined in 2023</t>
  </si>
  <si>
    <t>Approved low incentive rate base capex allowance for purposes of forecast MAR in the disclosure year</t>
  </si>
  <si>
    <t>Schedule C1 column</t>
  </si>
  <si>
    <t>Column 6</t>
  </si>
  <si>
    <t>Column 7</t>
  </si>
  <si>
    <t>Schedule C2: Approved standard incentive rate base capex summary - commissioned basis (including capitalised operating leases)</t>
  </si>
  <si>
    <t>Value of standard incentive rate base capex allowance as determined 29 August 2019</t>
  </si>
  <si>
    <t>Incremental approved standard incentive rate listed project base capex determined in 2020</t>
  </si>
  <si>
    <t>Incremental approved standard incentive rate listed project base capex determined in 2021</t>
  </si>
  <si>
    <t>Incremental approved standard incentive rate listed project base capex determined in 2022</t>
  </si>
  <si>
    <t>Incremental approved standard incentive rate listed project base capex determined in 2023</t>
  </si>
  <si>
    <t>Approved standard incentive rate base capex allowance for purposes of forecast MAR in the disclosure year</t>
  </si>
  <si>
    <t>Schedule C2 column</t>
  </si>
  <si>
    <t>Schedule C3: Approved low incentive rate base capex summary - expenditure basis (excluding capitalised operating leases)</t>
  </si>
  <si>
    <t>Schedule C3 column</t>
  </si>
  <si>
    <t>Schedule C4: Approved standard incentive rate base capex summary - expenditure basis (excluding capitalised operating leases)</t>
  </si>
  <si>
    <t>Schedule C4 column</t>
  </si>
  <si>
    <t>Note: Schedules C2 and C4 have been updated to reflect the following:
 - An ex-post IPP amendment for TPM development costs published by the Commerce Commission relating to the 21/22 disclosure year, determined in 2022;
 - An ex-ante IPP amendment relating to four additional Enhancement and Development base capex projects approved by the Commission relating to the 2022/23, 2023/24 and 2024/25 disclosure years, determined in 2023; and
 - An IPP amendment for TPM development costs published by the Commerce Commission relating to the 2022/23, 2023/24 and 2024/25 disclosure years (ex-post for 2022/23 and ex-ante for 2023/24 and 2024/25), determined in 2023. The costs relating to the 2023/24 and 2024/25 disclosure years have been converted into equivalent dollars as the original allowance so as to not reflect the costs on a different forecast basis. As such, the adjustment in the schedule C4, column 6 for these years is $0.2m less than the amounts as approved by the Commission.</t>
  </si>
  <si>
    <t>Details of any changes to Transpower's policy of hedging capital expenditure during the disclosure year</t>
  </si>
  <si>
    <t>No changes.</t>
  </si>
  <si>
    <t>Regulated Asset Base (RAB) roll forward</t>
  </si>
  <si>
    <t>Transpower IPP determination 2020, Part 5, clause 29.1.2 and 29.1.3 in combination with Transpower Input Methodologies Determination 2010, Part 3, Subpart 3, clause 3.3.1</t>
  </si>
  <si>
    <t>Opening RAB balance</t>
  </si>
  <si>
    <t>plus/less</t>
  </si>
  <si>
    <t>prior year adjustments</t>
  </si>
  <si>
    <t xml:space="preserve">Asset write-offs and disposals </t>
  </si>
  <si>
    <t>Lost assets</t>
  </si>
  <si>
    <t>Found assets</t>
  </si>
  <si>
    <t>miscellaneous immaterial adjustments</t>
  </si>
  <si>
    <t>Closing RAB balance</t>
  </si>
  <si>
    <t>Net book value of disposed assets (incl. impairments)</t>
  </si>
  <si>
    <t>Proceeds from disposed assets</t>
  </si>
  <si>
    <t>Other adjustments</t>
  </si>
  <si>
    <t>Net gain/loss on disposal of assets</t>
  </si>
  <si>
    <t xml:space="preserve">Note: This closing RAB balance reconciles exactly to the numbers in Transpower's financial statements (with the exception of the pseudo asset - see below explanation). They are not however equal to the numbers in the financial statements, because the RAB excludes customer-funded assets and assets relating to other unregulated lines of business. 
The pseudo asset is a purely regulatory non_GAAP asset that does not appear anywhere in Transpower's financial statements. It was created on 1 July 2015 and is depreciating at a constant rate over 31 years. It is a legacy adjustment from RCP1 related to regulatory rules that during RCP1 did not allow recovery of depreciation in the year of commissioning (different to GAAP).  This resulted in a divergency of GAAP assets and RAB assets.  At the start of RCP2 this regulatory rule (no depreciation in year of commissioning)  was removed and as a result this pseudo asset created so that going forward the GAAP asset value could be used for RAB.  RAB is now GAAP asset  + Pseudo asset. This work around stops the necessity to manage two separate asset registers, one for GAAP and one for RAB.
</t>
  </si>
  <si>
    <t>Transpower IPP determination 2020, Part 5, clause 29.1.5 in combination with Transpower Input Methodologies Determination 2010, Part 3, Subpart 3, clause 3.3.1</t>
  </si>
  <si>
    <t xml:space="preserve">Total GAAP depreciation </t>
  </si>
  <si>
    <t>Pseudo asset depreciation</t>
  </si>
  <si>
    <t>Dismantling &amp; other write offs</t>
  </si>
  <si>
    <t>Capitalised interest depreciation adjustment</t>
  </si>
  <si>
    <t>Total capitalised interest @ GAAP</t>
  </si>
  <si>
    <t>Capitalised interest rate used during the year</t>
  </si>
  <si>
    <t>C = A/B</t>
  </si>
  <si>
    <t>Gross-up of capitalised interest</t>
  </si>
  <si>
    <t>Weighted average borrowing cost</t>
  </si>
  <si>
    <t>E = C*D</t>
  </si>
  <si>
    <t>Allowed capitalised interest</t>
  </si>
  <si>
    <t>E-A</t>
  </si>
  <si>
    <t xml:space="preserve">The opex allowance and forecast opex </t>
  </si>
  <si>
    <t xml:space="preserve">Transpower IPP determination 2020, Part 5, clauses 29.1.6 and 33.2 in combination with clause 29.2 </t>
  </si>
  <si>
    <r>
      <t>Disclosure year</t>
    </r>
    <r>
      <rPr>
        <sz val="11"/>
        <color theme="0" tint="-0.499984740745262"/>
        <rFont val="Calibri"/>
        <family val="2"/>
        <scheme val="minor"/>
      </rPr>
      <t xml:space="preserve"> (finishing June)</t>
    </r>
  </si>
  <si>
    <t>CPI assumptions</t>
  </si>
  <si>
    <t>Source reference</t>
  </si>
  <si>
    <t>As per IPP determination</t>
  </si>
  <si>
    <t xml:space="preserve">Rate </t>
  </si>
  <si>
    <t>Transpower IPP determination 2020, Part 5, clause 29.2</t>
  </si>
  <si>
    <t>Index (rebased to 2018)</t>
  </si>
  <si>
    <t>calculated</t>
  </si>
  <si>
    <t>Actual outturn</t>
  </si>
  <si>
    <t>Statistics New Zealand</t>
  </si>
  <si>
    <t>TPM costs for 2021, 2022 and 2023 have been determined ex-post and therefore are excluded from the CPI adjustment, as the amounts reflect the dollars of the day.</t>
  </si>
  <si>
    <t>TPM costs for 2024 and 2025 have been approved on an ex-ante basis, and nominal forecast costs have been rebased to equivalent dollars as the original allowance.</t>
  </si>
  <si>
    <t>Refer Note 2 in row 55.</t>
  </si>
  <si>
    <r>
      <t xml:space="preserve">Nominal forecast </t>
    </r>
    <r>
      <rPr>
        <sz val="8"/>
        <color theme="0" tint="-0.499984740745262"/>
        <rFont val="Calibri"/>
        <family val="2"/>
        <scheme val="minor"/>
      </rPr>
      <t>(as per IPP determination)</t>
    </r>
  </si>
  <si>
    <r>
      <t xml:space="preserve">Opex allowance </t>
    </r>
    <r>
      <rPr>
        <sz val="8"/>
        <color theme="0" tint="-0.499984740745262"/>
        <rFont val="Calibri"/>
        <family val="2"/>
        <scheme val="minor"/>
      </rPr>
      <t>(excluding operating lease payments otherwise capitalised with the Transpower IM)</t>
    </r>
  </si>
  <si>
    <t>Transpower IPP determination 2020, Part 5, clause 29.1.6 (total allowance); Transpower IPP Amendment Determination 2023 (No.2);
Transpower allocation to HVAC and HVDC</t>
  </si>
  <si>
    <t>ex-post</t>
  </si>
  <si>
    <t>D = E - C</t>
  </si>
  <si>
    <t>Operating lease payments otherwise capitalised with the Transpower IM</t>
  </si>
  <si>
    <t>ex-ante</t>
  </si>
  <si>
    <r>
      <t xml:space="preserve">Forecast opex </t>
    </r>
    <r>
      <rPr>
        <sz val="8"/>
        <color theme="0" tint="-0.499984740745262"/>
        <rFont val="Calibri"/>
        <family val="2"/>
        <scheme val="minor"/>
      </rPr>
      <t>(including operating lease payments otherwise capitalised with the Transpower IM)</t>
    </r>
  </si>
  <si>
    <t>Transpower IPP determination 2020, Part 5, clause 33.2 (total allowance); Transpower IPP Amendment Determination 2023 (No.2);
Transpower allocation to HVAC and HVDC</t>
  </si>
  <si>
    <t>F = C / A</t>
  </si>
  <si>
    <r>
      <t xml:space="preserve">Real forecast </t>
    </r>
    <r>
      <rPr>
        <sz val="8"/>
        <color theme="0" tint="-0.499984740745262"/>
        <rFont val="Calibri"/>
        <family val="2"/>
        <scheme val="minor"/>
      </rPr>
      <t>(as per IPP determination - 2018 based)</t>
    </r>
  </si>
  <si>
    <t>G = D / A</t>
  </si>
  <si>
    <t>H = E / A</t>
  </si>
  <si>
    <t>I = F * B</t>
  </si>
  <si>
    <r>
      <t xml:space="preserve">Nominal forecast </t>
    </r>
    <r>
      <rPr>
        <sz val="8"/>
        <color theme="0" tint="-0.499984740745262"/>
        <rFont val="Calibri"/>
        <family val="2"/>
        <scheme val="minor"/>
      </rPr>
      <t>(as per actual CPI outturn)</t>
    </r>
  </si>
  <si>
    <r>
      <t xml:space="preserve">Opex allowance </t>
    </r>
    <r>
      <rPr>
        <b/>
        <sz val="8"/>
        <color theme="0" tint="-0.499984740745262"/>
        <rFont val="Calibri"/>
        <family val="2"/>
        <scheme val="minor"/>
      </rPr>
      <t>(excluding operating lease payments otherwise capitalised with the Transpower IM)</t>
    </r>
  </si>
  <si>
    <t>J = G * B</t>
  </si>
  <si>
    <t>K = H * B</t>
  </si>
  <si>
    <t>Transpower IPP determination 2020, Part 5, clause 29.1.6 (total allowance);  Transpower IPP Amendment Determination 2023 (No.2);
Transpower allocation to HVAC and HVDC</t>
  </si>
  <si>
    <t>M = N - L</t>
  </si>
  <si>
    <t>Transpower IPP determination 2020, Part 5, clause 33.2 (total allowance);  Transpower IPP Amendment Determination 2023 (No.2);
Transpower allocation to HVAC and HVDC</t>
  </si>
  <si>
    <t>O = L / A</t>
  </si>
  <si>
    <t>P = M / A</t>
  </si>
  <si>
    <t>Q = N / A</t>
  </si>
  <si>
    <t>R = O * B</t>
  </si>
  <si>
    <t>S = P * B</t>
  </si>
  <si>
    <t>T = Q * B</t>
  </si>
  <si>
    <t>C + L</t>
  </si>
  <si>
    <t>Transpower IPP determination 2020, Part 5, clause 29.1.6; Transpower IPP Amendment Determination 2023 (No.2)</t>
  </si>
  <si>
    <t>D + M</t>
  </si>
  <si>
    <t>E + N</t>
  </si>
  <si>
    <t>Transpower IPP determination 2020, Part 5, clause 33.2; Transpower IPP Amendment Determination 2023 (No.2)</t>
  </si>
  <si>
    <t>F + O</t>
  </si>
  <si>
    <t>G + P</t>
  </si>
  <si>
    <t>H + Q</t>
  </si>
  <si>
    <t>I + R</t>
  </si>
  <si>
    <t>J + S</t>
  </si>
  <si>
    <t>K + T</t>
  </si>
  <si>
    <r>
      <rPr>
        <b/>
        <sz val="11"/>
        <color theme="1"/>
        <rFont val="Calibri"/>
        <family val="2"/>
        <scheme val="minor"/>
      </rPr>
      <t>Note 1:</t>
    </r>
    <r>
      <rPr>
        <sz val="11"/>
        <color theme="1"/>
        <rFont val="Calibri"/>
        <family val="2"/>
        <scheme val="minor"/>
      </rPr>
      <t xml:space="preserve"> Transpower's total nominal opex allowance and nominal forecast opex are specified in the IPP determination 2020. The nominal forecast of operating lease payments otherwise capitalised with the Transpower IM simply is the difference of the two. The split into HVAC and HVDC is not specified in the IPP, but consistent with what the Commerce Commission used in setting Transpower's revenue for RCP3. See the below excel workbook, sheet 'Totex adjustment inputs', rows 29 and 66.</t>
    </r>
  </si>
  <si>
    <r>
      <rPr>
        <b/>
        <sz val="11"/>
        <rFont val="Calibri"/>
        <family val="2"/>
        <scheme val="minor"/>
      </rPr>
      <t xml:space="preserve">Note 2: </t>
    </r>
    <r>
      <rPr>
        <sz val="11"/>
        <rFont val="Calibri"/>
        <family val="2"/>
        <scheme val="minor"/>
      </rPr>
      <t>Transpower's opex allowance for each year has been updated to reflect the IPP amendment for TPM development costs published by the Commerce Commission. Costs relating to disclosure years 2021, 2022 and 2023 were approved ex-post and so there is no need to adjust for any disparity between forecast CPI and outturn CPI (note the exclusion from the calculations in rows 19 and 22). Costs relating to disclosure years 2024 and 2025 were approved ex-ante on a nominal basis using forecast CPI at time of application (in 2023). These costs have been converted into equivalent dollars as the original allowance so as to not reflect the costs on a different forecast basis. As such, these costs are subject to the CPI allowance and the opex allowance as reported above does not reconcile exactly to the allowance as per the Commission's Amendment Determination. For certainty, approved TPM opex costs in nominal dollars are as follows: 2021 - $5.0m, 2022 - $4.5m, 2023 - $4.3m, 2024 - $4.4m, 2025 - $3.9m.</t>
    </r>
    <r>
      <rPr>
        <b/>
        <sz val="11"/>
        <rFont val="Calibri"/>
        <family val="2"/>
        <scheme val="minor"/>
      </rPr>
      <t xml:space="preserve">
</t>
    </r>
  </si>
  <si>
    <t>The regulatory tax allowance</t>
  </si>
  <si>
    <t>Transpower IPP determination 2020, Part 5, clause 29.1.8 in combination with Transpower Input Methodologies Determination 2010, Part 3, Subpart 4, clause 3.4.1</t>
  </si>
  <si>
    <t>Recoverable costs</t>
  </si>
  <si>
    <t>Notional deductible interest</t>
  </si>
  <si>
    <t xml:space="preserve">Regulatory profit/loss before tax </t>
  </si>
  <si>
    <t>Corporate tax rate</t>
  </si>
  <si>
    <t>A*B</t>
  </si>
  <si>
    <t xml:space="preserve">Regulatory tax allowance </t>
  </si>
  <si>
    <t>Tax depreciation on RAB assets</t>
  </si>
  <si>
    <t>Tower painting &amp; attachment points</t>
  </si>
  <si>
    <t>Tax write-offs</t>
  </si>
  <si>
    <t>Operating leases costs capitalised under GAAP</t>
  </si>
  <si>
    <t>Opening RAB value</t>
  </si>
  <si>
    <t>Leverage</t>
  </si>
  <si>
    <t>Cost of debt</t>
  </si>
  <si>
    <t>Notional deductible interest (before TCSD allowance)</t>
  </si>
  <si>
    <t>Term Credit Spread Differential (TCSD) allowance</t>
  </si>
  <si>
    <t xml:space="preserve">Notional deductible interest </t>
  </si>
  <si>
    <r>
      <t xml:space="preserve">Note: </t>
    </r>
    <r>
      <rPr>
        <sz val="11"/>
        <color theme="1"/>
        <rFont val="Calibri"/>
        <family val="2"/>
        <scheme val="minor"/>
      </rPr>
      <t>The Transpower Input Methodologies Determination 2010 specifies the application of the tax rules and using the 'regulatory profit / (loss) before tax' as determined in accordance with an ID determination. The above calculation complies with these requirements except for the amount of opex that is included. In line with Transpower's practice in RCP2, this calculation is using the opex allowance (and not actual opex), consistent with the amount of opex that is included in Schedule D and Schedule E of the Transpower IPP determination 2020 (adjusted for actual CPI outturn).</t>
    </r>
  </si>
  <si>
    <t>Transpower IPP determination 2020, Part 5, clause 31.1.1(c)</t>
  </si>
  <si>
    <t>a positive (+) account entry is a $ amount Transpower will return to customers</t>
  </si>
  <si>
    <t>Transpower IPP determination 2020, Part 5, clause 31.1.3</t>
  </si>
  <si>
    <t>a negative (-) account entry is a $ amount that  Transpower will recover from customers</t>
  </si>
  <si>
    <t>Comment</t>
  </si>
  <si>
    <t>The ex-post economic gain or loss calculated for the final disclosure year of RCP2</t>
  </si>
  <si>
    <t>Not an explicit EV account entry. It is reflected in the opening EV account balance for RCP3 (which is the same as the closing EV account balance for the final disclosure year of RCP2 and taking into account the ex-post economic gain or loss for that year). The source of the calculation is in Transpower's IPP disclosures for the 2019/20 disclosure year, tab 14, row 27.</t>
  </si>
  <si>
    <t>31.1.3(a)</t>
  </si>
  <si>
    <t>The after-tax gain or loss in respect of an instrument that ceases to be an effective hedge for the final disclosure year of RCP2</t>
  </si>
  <si>
    <t>none</t>
  </si>
  <si>
    <t>31.1.3(b)</t>
  </si>
  <si>
    <t>The after-tax gain or loss in respect of a commodity instrument that is not an effective hedge for the final disclosure year of RCP2</t>
  </si>
  <si>
    <t>31.1.3(c)</t>
  </si>
  <si>
    <t>The ex-post economic gain or loss for the disclosure year</t>
  </si>
  <si>
    <t>31.1.3(d)</t>
  </si>
  <si>
    <t>The after tax gain or loss on capital expenditure commitments</t>
  </si>
  <si>
    <t>31.1.3(e)</t>
  </si>
  <si>
    <t>The after-tax economic gain or loss of a grid output adjustment, calculated in accordance with Schedule B, clause B2(1) of the Capex IM</t>
  </si>
  <si>
    <t>31.1.3(f)</t>
  </si>
  <si>
    <t>The after-tax economic gain or loss of a base capex expenditure adjustment, calculated in accordance with Schedule B, clause B1(1) of the Capex IM</t>
  </si>
  <si>
    <t>31.1.3(g)</t>
  </si>
  <si>
    <t>The after-tax economic gain or loss of a major capex expenditure and output adjustment, calculated in accordance with Schedule B, clause B3(1) of the Capex IM</t>
  </si>
  <si>
    <t>Incentive payment associated with the close out of BOB-OTA MCP.</t>
  </si>
  <si>
    <t>31.1.3(h)</t>
  </si>
  <si>
    <t>The after tax amount of a major capex sunk costs adjustment, calculated in accordance with clause 3.3.7 of the Capex IM</t>
  </si>
  <si>
    <t>31.1.3(i)</t>
  </si>
  <si>
    <t>For major capex projects to which paragraph 4.2 of the Capex IM amendment determination applies, the after-tax economic loss of a major capex overspend adjustment, calculated in accordance with Schedule B, clause B4 of the Capex IM</t>
  </si>
  <si>
    <t>This EV account entry is not specified in the Transpower IPP determination 2020, but from the Transpower IPP determination 2015 applicable to RCP2. Transpower and the Commerce Commission agreed to include these clauses here to take account of major capex projects that were approved before the 2018 amended Capex IM came into effect.</t>
  </si>
  <si>
    <t>23.1.3(l)
(RCP2 IPP)</t>
  </si>
  <si>
    <t>For major capex projects to which paragraph 4.2 of the Capex IM amendment determination applies, the after-tax economic loss of a major capex project output adjustment, calculated in accordance with Schedule B, clause B5 of the Capex IM</t>
  </si>
  <si>
    <t>23.1.3(m)
(RCP2 IPP)</t>
  </si>
  <si>
    <t>The reported closing EV account balance reflects the penalty associated with the HVDC deposit. The deposit was $18.1m. The incentive rate for RCP4 is 23.5%, therefore the penalty is $4.25m. The HVDC transitional adjustment will be determined by the Commission for DY26.</t>
  </si>
  <si>
    <t>Capex IM amendment determination from 25 May 2018</t>
  </si>
  <si>
    <t>Capex IM amendment determination 25 May 2018</t>
  </si>
  <si>
    <t>2019/20 IPP disclosures</t>
  </si>
  <si>
    <t>Calculation of base capex expenditure adjustment</t>
  </si>
  <si>
    <t>Transpower IPP determination 2020, Part 5, clause 31.1.3(g) in combination with Transpower Capital Expenditure Input Methodologies Determination 2012, Schedule B, Division 1, B1</t>
  </si>
  <si>
    <t>Description</t>
  </si>
  <si>
    <t>Standard incentive rate base capex expenditure adjustment</t>
  </si>
  <si>
    <t>Low incentive rate base capex expenditure adjustment</t>
  </si>
  <si>
    <t>Base capex expenditure adjustment</t>
  </si>
  <si>
    <t>Specification</t>
  </si>
  <si>
    <t>Schedule B1 Term</t>
  </si>
  <si>
    <t>Base capex standard incentive rate</t>
  </si>
  <si>
    <t>(1 - (1 / ((1 + vanilla WACC)^6))) * 100%</t>
  </si>
  <si>
    <t>a</t>
  </si>
  <si>
    <t>Adjusted standard incentive rate base capex allowance</t>
  </si>
  <si>
    <t>d + d* + d' + e + f + h</t>
  </si>
  <si>
    <t>b</t>
  </si>
  <si>
    <t>Base capex subject to the base capex standard incentive rate</t>
  </si>
  <si>
    <t>Base capex annual information required by an ID determination or a s 53ZD notice</t>
  </si>
  <si>
    <t>c</t>
  </si>
  <si>
    <t xml:space="preserve">Standard incentive rate base capex allowance </t>
  </si>
  <si>
    <t>In accordance with clause 2.2.2(1)(a) of the Transpower Capex IM Determination 2012</t>
  </si>
  <si>
    <t>d</t>
  </si>
  <si>
    <t>Approved base capex in respect of listed projects subject to the base capex standard incentive rate</t>
  </si>
  <si>
    <t>In accordance with clause 3.2.3(5)(d) of the Transpower Capex IM Determination 2012</t>
  </si>
  <si>
    <t>d'</t>
  </si>
  <si>
    <t>Adjustment correcting for disparity between forecast CPI and actual CPI in respect of d and d'</t>
  </si>
  <si>
    <t>e</t>
  </si>
  <si>
    <t>Adjustment correcting for disparity between forecast FX rates and actual FX rates for each relevant currency in respect of d and d'</t>
  </si>
  <si>
    <t>f</t>
  </si>
  <si>
    <t>Adjusted standard incentive rate base capex allowance b to which the base capex standard incentive rate a does not apply</t>
  </si>
  <si>
    <t>g</t>
  </si>
  <si>
    <t>Adjustment, after correcting for the applicable portions of e and f, in respect of the portion of d that is subject to the base capex allowance adjustment mechanism</t>
  </si>
  <si>
    <t>Specified in an IPP determination</t>
  </si>
  <si>
    <t>h</t>
  </si>
  <si>
    <t>Net standard incentive rate base capex subject to the standard incentive rate</t>
  </si>
  <si>
    <t>b - c - g</t>
  </si>
  <si>
    <t>i</t>
  </si>
  <si>
    <t>a * i</t>
  </si>
  <si>
    <t>note: d` and i are not defined terms in Schedule B1. Included here to increase transparency.</t>
  </si>
  <si>
    <t xml:space="preserve">all $m </t>
  </si>
  <si>
    <t>Base capex standard low rate</t>
  </si>
  <si>
    <t>a*</t>
  </si>
  <si>
    <t>Adjusted low incentive rate base capex allowance</t>
  </si>
  <si>
    <t>d* + d'* + e* + f*</t>
  </si>
  <si>
    <t>b*</t>
  </si>
  <si>
    <t>Base capex subject to the base capex low incentive rate</t>
  </si>
  <si>
    <t>c*</t>
  </si>
  <si>
    <t xml:space="preserve">Low incentive rate base capex allowance </t>
  </si>
  <si>
    <t>d*</t>
  </si>
  <si>
    <t>Approved base capex in respect of listed projects subject to the base capex low incentive rate</t>
  </si>
  <si>
    <t>d'*</t>
  </si>
  <si>
    <t>Adjustment correcting for disparity between forecast CPI and actual CPI in respect of d* and d'*</t>
  </si>
  <si>
    <t>e*</t>
  </si>
  <si>
    <t>Adjustment correcting for disparity between forecast FX rates and actual FX rates for each relevant currency in respect of d* and d'*</t>
  </si>
  <si>
    <t>f*</t>
  </si>
  <si>
    <t>Adjusted low incentive rate base capex allowance b to which the base capex standard incentive rate a does not apply</t>
  </si>
  <si>
    <t>g*</t>
  </si>
  <si>
    <t>Net low incentive rate base capex subject to the low incentive rate</t>
  </si>
  <si>
    <t>b* - c* - g*</t>
  </si>
  <si>
    <t>h*</t>
  </si>
  <si>
    <t>(a*) * (h*)</t>
  </si>
  <si>
    <t>Calculation of major capex expenditure and output adjustment</t>
  </si>
  <si>
    <t>Transpower IPP determination 2020, Part 5, clause 31.1.3(h) in combination with Transpower Capital Expenditure Input Methodologies Determination 2012, Schedule B, Division 2, B3</t>
  </si>
  <si>
    <t>Schedule B3 Term</t>
  </si>
  <si>
    <t>Major capex incentive rate for the approved MCP</t>
  </si>
  <si>
    <t>In accordance with clause 3.3.5(7) of the Transpower Capex IM Determination 2012</t>
  </si>
  <si>
    <t>Adjusted major capex allowance for the approved MCP</t>
  </si>
  <si>
    <t>d + e + f</t>
  </si>
  <si>
    <t>Capital expenditure for the approved MCP less exempt major capex</t>
  </si>
  <si>
    <t>Major capex information required by an ID determination or a s 53ZD notice</t>
  </si>
  <si>
    <t>Major capex allowance for the approved MCP less exempt major capex</t>
  </si>
  <si>
    <t xml:space="preserve">Adjustment correcting for disparity between forecast CPI and actual CPI in respect of d </t>
  </si>
  <si>
    <t>Adjustment correcting for disparity between forecast FX rates and actual FX rates for each relevant currency in respect of d</t>
  </si>
  <si>
    <t>Estimated part of the major capex allowance for the approved MCP that relates to the approved MCP outputs not delivered</t>
  </si>
  <si>
    <t>Major capex annual information required by an ID determination or a s 53ZD notice</t>
  </si>
  <si>
    <t>t</t>
  </si>
  <si>
    <t>Net major capex subject to the major capex incentive rate</t>
  </si>
  <si>
    <t>b - t - c</t>
  </si>
  <si>
    <t>Major capex expenditure and output adjustment</t>
  </si>
  <si>
    <t>a * (b - t - c)</t>
  </si>
  <si>
    <t>Commerce Commission approval document:</t>
  </si>
  <si>
    <t xml:space="preserve">Decision and reasons on Transpower’s Bombay Otahuhu </t>
  </si>
  <si>
    <t>Calculation of grid output adjustment</t>
  </si>
  <si>
    <t>Transpower IPP determination 2020, Part 5, clause 31.1.3(f) in combination with Transpower Capital Expenditure Input Methodologies Determination 2012, Schedule B, Division 1, B2</t>
  </si>
  <si>
    <t>all $</t>
  </si>
  <si>
    <t>Incentive rate</t>
  </si>
  <si>
    <t>Assessed value</t>
  </si>
  <si>
    <t>Grid output adjustment</t>
  </si>
  <si>
    <t>l</t>
  </si>
  <si>
    <t>$ per event</t>
  </si>
  <si>
    <t>$ per minute</t>
  </si>
  <si>
    <t>$ per 1%</t>
  </si>
  <si>
    <t>Total grid output adjustment</t>
  </si>
  <si>
    <r>
      <rPr>
        <b/>
        <sz val="11"/>
        <color theme="1"/>
        <rFont val="Calibri"/>
        <family val="2"/>
        <scheme val="minor"/>
      </rPr>
      <t xml:space="preserve">Note 1: </t>
    </r>
    <r>
      <rPr>
        <sz val="11"/>
        <color theme="1"/>
        <rFont val="Calibri"/>
        <family val="2"/>
        <scheme val="minor"/>
      </rPr>
      <t>The formulae used to calculate the grid output adjustments (Term I) for GP1, GP2, AP1 and AP2 are different from the formula prescribed in the Transpower Capex IM. This is to ensure the incentive rate can be reported as a positive integer regardless of whether the cap is higher or lower than the target. The formulae remain consistent with the Commerce Commission's intention, as outlined in its 'IPP for RCP3 Decisions and Reasons paper' (link below), Figure F2 on page 137.</t>
    </r>
  </si>
  <si>
    <t>IPP for RCP3 Decisions and Reasons paper</t>
  </si>
  <si>
    <t>Standard incentive rate base capex allowance - expenditure basis (excluding capitalised operating leases)</t>
  </si>
  <si>
    <t>TPM costs for 2022 and 2023 have been determined ex-post and therefore are excluded from the CPI adjustment, as the amounts reflect the dollars of the day.</t>
  </si>
  <si>
    <t>E&amp;D reopener capex has been approved on an ex-ante basis, and nominal forecast costs have been rebased to equivalent dollars as the original allowance.</t>
  </si>
  <si>
    <t>Refer Note 2 in row 35.</t>
  </si>
  <si>
    <t>TPM</t>
  </si>
  <si>
    <t>Base capex allowance (standard incentive rate)</t>
  </si>
  <si>
    <t>Schedule C4 (total allowance); 
Transpower allocation to HVAC and HVDC</t>
  </si>
  <si>
    <t>D = C / A</t>
  </si>
  <si>
    <t>E = D * B</t>
  </si>
  <si>
    <r>
      <t xml:space="preserve">Nominal forecast </t>
    </r>
    <r>
      <rPr>
        <b/>
        <sz val="8"/>
        <color theme="0" tint="-0.499984740745262"/>
        <rFont val="Calibri"/>
        <family val="2"/>
        <scheme val="minor"/>
      </rPr>
      <t>(as per actual CPI outturn)</t>
    </r>
  </si>
  <si>
    <t>calculated - when actual CPI is available</t>
  </si>
  <si>
    <t>E&amp;D</t>
  </si>
  <si>
    <t>G = F / A</t>
  </si>
  <si>
    <t>H = G * B</t>
  </si>
  <si>
    <t>C + F</t>
  </si>
  <si>
    <t>Schedule C4</t>
  </si>
  <si>
    <t>D + G</t>
  </si>
  <si>
    <t>E + H</t>
  </si>
  <si>
    <r>
      <rPr>
        <b/>
        <sz val="11"/>
        <color theme="1"/>
        <rFont val="Calibri"/>
        <family val="2"/>
        <scheme val="minor"/>
      </rPr>
      <t>Note 1:</t>
    </r>
    <r>
      <rPr>
        <sz val="11"/>
        <color theme="1"/>
        <rFont val="Calibri"/>
        <family val="2"/>
        <scheme val="minor"/>
      </rPr>
      <t xml:space="preserve"> Transpower's total nominal base capex allowance (standard incentive rate) is specified in the IPP determination 2020. The split into HVAC and HVDC is not specified in the IPP. It is for Transpower to make that allocation.</t>
    </r>
  </si>
  <si>
    <r>
      <rPr>
        <b/>
        <sz val="11"/>
        <color theme="1"/>
        <rFont val="Calibri"/>
        <family val="2"/>
        <scheme val="minor"/>
      </rPr>
      <t xml:space="preserve">Note 2: </t>
    </r>
    <r>
      <rPr>
        <sz val="11"/>
        <color theme="1"/>
        <rFont val="Calibri"/>
        <family val="2"/>
        <scheme val="minor"/>
      </rPr>
      <t>Transpower's capex allowance for each year from 2022 has been updated to reflect the IPP amendment for TPM development costs published by the Commerce Commission. Costs relating to disclosure years 2022 and 2023 were approved ex-post and so there is no need to adjust for any disparity between forecast CPI and outturn CPI (note the exclusion from the calculations in rows 16 and 18). Costs relating to disclosure years 2024 and 2025 were approved ex-ante on a nominal basis using forecast CPI at time of application (in 2023). Costs relating to these years have been converted into equivalent dollars to the original allowance and are therefore subject to the CPI adjustment. For certainty, approved TPM capex costs in nominal dollars are as follows: 2021 - $0m, 2022 - $2.0m, 2023 - $2.1m, 2024 - $1.9m, 2025 - $1.9m.</t>
    </r>
  </si>
  <si>
    <r>
      <rPr>
        <b/>
        <sz val="11"/>
        <color theme="1"/>
        <rFont val="Calibri"/>
        <family val="2"/>
        <scheme val="minor"/>
      </rPr>
      <t xml:space="preserve">Note 3: </t>
    </r>
    <r>
      <rPr>
        <sz val="11"/>
        <color theme="1"/>
        <rFont val="Calibri"/>
        <family val="2"/>
        <scheme val="minor"/>
      </rPr>
      <t>Transpower's capex allowance for each year from 2023 has been updated to reflect the IPP amendment for additional Enhancement and Development costs as approved by the Commerce Commission. Amounts are reflected in equivalent dollars to the original allowance and are therefore subject to the CPI adjustment.</t>
    </r>
  </si>
  <si>
    <t xml:space="preserve">Amount of the standard incentive rate base capex allowance paid for in foreign currency - expenditure basis (excluding capitalised operating leases) </t>
  </si>
  <si>
    <t xml:space="preserve">FX assumptions </t>
  </si>
  <si>
    <r>
      <t xml:space="preserve">Forecast FX rate 
</t>
    </r>
    <r>
      <rPr>
        <sz val="8"/>
        <color theme="0" tint="-0.499984740745262"/>
        <rFont val="Calibri"/>
        <family val="2"/>
        <scheme val="minor"/>
      </rPr>
      <t>(as per IPP determination)</t>
    </r>
  </si>
  <si>
    <t>US$/NZ$</t>
  </si>
  <si>
    <t>Transpower IPP determination 2020, Part 5, clause 31.2.7(a) - (e)</t>
  </si>
  <si>
    <t>A2</t>
  </si>
  <si>
    <t>EUR/NZ$</t>
  </si>
  <si>
    <t>Transpower IPP determination 2020, Part 5, clause 31.2.8(a)</t>
  </si>
  <si>
    <t>A3</t>
  </si>
  <si>
    <t>GBP/NZ$</t>
  </si>
  <si>
    <t>Transpower IPP determination 2020, Part 5, clause 31.2.8(b)</t>
  </si>
  <si>
    <t>A4</t>
  </si>
  <si>
    <t>AU$/NZ$</t>
  </si>
  <si>
    <t>Transpower IPP determination 2020, Part 5, clause 31.2.8(c)</t>
  </si>
  <si>
    <t>A5</t>
  </si>
  <si>
    <t>JPY/NZ$</t>
  </si>
  <si>
    <t>Transpower IPP determination 2020, Part 5, clause 31.2.8(d)</t>
  </si>
  <si>
    <t>A6</t>
  </si>
  <si>
    <t>SEK/NZ$</t>
  </si>
  <si>
    <t>Transpower IPP determination 2020, Part 5, clause 31.2.8(e)</t>
  </si>
  <si>
    <t>A7</t>
  </si>
  <si>
    <t>CA$/NZ$</t>
  </si>
  <si>
    <t>Transpower IPP determination 2020, Part 5, clause 31.2.8(f)</t>
  </si>
  <si>
    <t>B1</t>
  </si>
  <si>
    <r>
      <t xml:space="preserve">Actual FX rate 
</t>
    </r>
    <r>
      <rPr>
        <sz val="8"/>
        <color theme="0" tint="-0.499984740745262"/>
        <rFont val="Calibri"/>
        <family val="2"/>
        <scheme val="minor"/>
      </rPr>
      <t>(as per Transpower Capex IM)</t>
    </r>
  </si>
  <si>
    <t>weighted average exchange rate obtained by Transpower in its US$ transactions</t>
  </si>
  <si>
    <t>B2</t>
  </si>
  <si>
    <t>weighted average exchange rate obtained by Transpower in its EUR transactions</t>
  </si>
  <si>
    <t>B3</t>
  </si>
  <si>
    <t>weighted average exchange rate obtained by Transpower in its GBP transactions</t>
  </si>
  <si>
    <t>B4</t>
  </si>
  <si>
    <t>weighted average exchange rate obtained by Transpower in its AU$ transactions</t>
  </si>
  <si>
    <t>B5</t>
  </si>
  <si>
    <t>weighted average exchange rate obtained by Transpower in its JPY transactions</t>
  </si>
  <si>
    <t>B6</t>
  </si>
  <si>
    <t>weighted average exchange rate obtained by Transpower in its SEK transactions</t>
  </si>
  <si>
    <t>B7</t>
  </si>
  <si>
    <t>weighted average exchange rate obtained by Transpower in its CA$ transactions</t>
  </si>
  <si>
    <t>all NZ$m</t>
  </si>
  <si>
    <t>Paid in (Currency)</t>
  </si>
  <si>
    <t>Page 51, Table 5.1</t>
  </si>
  <si>
    <t>Amount of the standard incentive rate base capex allowance to which the forecast FX rate applies</t>
  </si>
  <si>
    <t>USD</t>
  </si>
  <si>
    <t>Table 5.1 (total amount); Transpower allocation to HVAC and HVDC</t>
  </si>
  <si>
    <t>EUR</t>
  </si>
  <si>
    <t>GBP</t>
  </si>
  <si>
    <t>AUD</t>
  </si>
  <si>
    <t>JPY</t>
  </si>
  <si>
    <t>SEK</t>
  </si>
  <si>
    <t>CAD</t>
  </si>
  <si>
    <t>I = Sum of C1 to C7</t>
  </si>
  <si>
    <t>D1 = C1 * A1 / B1</t>
  </si>
  <si>
    <t>Amount of the standard incentive rate base capex allowance adjusted for the actual FX rate</t>
  </si>
  <si>
    <t>D2 = C2 * A2 / B2</t>
  </si>
  <si>
    <t>D3 = C3 * A3 / B3</t>
  </si>
  <si>
    <t>D4 = C4 * A4 / B4</t>
  </si>
  <si>
    <t>D5 = C5 * A5 / B5</t>
  </si>
  <si>
    <t>D6 = C6 * A6 / B6</t>
  </si>
  <si>
    <t>D7 = C7 * A7 / B7</t>
  </si>
  <si>
    <t>J = Sum of D1 to D7</t>
  </si>
  <si>
    <t>Difference due to actual FX outturn</t>
  </si>
  <si>
    <t>Currency</t>
  </si>
  <si>
    <t>E1</t>
  </si>
  <si>
    <t>E2</t>
  </si>
  <si>
    <t>E3</t>
  </si>
  <si>
    <t>E4</t>
  </si>
  <si>
    <t>E5</t>
  </si>
  <si>
    <t>E6</t>
  </si>
  <si>
    <t>E7</t>
  </si>
  <si>
    <t>K = Sum of E1 to E7</t>
  </si>
  <si>
    <t>F1 = E1 * A1 / B1</t>
  </si>
  <si>
    <t>F2 = E2 * A2 / B2</t>
  </si>
  <si>
    <t>F3 = E3 * A3 / B3</t>
  </si>
  <si>
    <t>F4 = E4 * A4 / B4</t>
  </si>
  <si>
    <t>F5 = E5 * A5 / B5</t>
  </si>
  <si>
    <t>F6 = E6 * A6 / B6</t>
  </si>
  <si>
    <t>F7 = E7 * A7 / B7</t>
  </si>
  <si>
    <t>L = Sum of F1 to F7</t>
  </si>
  <si>
    <t>G1 = C1 + E1</t>
  </si>
  <si>
    <t>Transpower IPP determination 2020, Part 5, Table 5.1</t>
  </si>
  <si>
    <t>G2 = C2 + E2</t>
  </si>
  <si>
    <t>G3 = C3 + E3</t>
  </si>
  <si>
    <t>G4 = C4 + E4</t>
  </si>
  <si>
    <t>G5 = C5 + E5</t>
  </si>
  <si>
    <t>G6 = C6 + E6</t>
  </si>
  <si>
    <t>G7 = C7 + E7</t>
  </si>
  <si>
    <t>M = Sum of G1 to G7</t>
  </si>
  <si>
    <t>H1 = D1 + F1</t>
  </si>
  <si>
    <t>H2 = D2 + F2</t>
  </si>
  <si>
    <t>H3 = D3 + F3</t>
  </si>
  <si>
    <t>H4 = D4 + F4</t>
  </si>
  <si>
    <t>H5 = D5 + F5</t>
  </si>
  <si>
    <t>H6 = D6 + F6</t>
  </si>
  <si>
    <t>H7 = D7 + F7</t>
  </si>
  <si>
    <t>N = Sum of H1 to H7</t>
  </si>
  <si>
    <r>
      <rPr>
        <b/>
        <sz val="11"/>
        <color theme="1"/>
        <rFont val="Calibri"/>
        <family val="2"/>
        <scheme val="minor"/>
      </rPr>
      <t>Note:</t>
    </r>
    <r>
      <rPr>
        <sz val="11"/>
        <color theme="1"/>
        <rFont val="Calibri"/>
        <family val="2"/>
        <scheme val="minor"/>
      </rPr>
      <t xml:space="preserve"> The large majority of FX spend is in regards to HVAC expenditure. Transpower therefore decided to allocate the entire amount of the standard incentive rate base capex allowance to which the forecast FX rate applies (as specified table 5.1 in the IPP) to HVAC.</t>
    </r>
  </si>
  <si>
    <t>Compliance checklist for Wash-up building blocks calculation</t>
  </si>
  <si>
    <t>IPP requirement</t>
  </si>
  <si>
    <t>Comments</t>
  </si>
  <si>
    <t xml:space="preserve">29. Wash-up building blocks calculation </t>
  </si>
  <si>
    <t>29.1 For the purposes of annually calculating the ex-post economic gain or loss,</t>
  </si>
  <si>
    <t xml:space="preserve">Transpower must use: </t>
  </si>
  <si>
    <t xml:space="preserve">29.1.1 the approach and formulae specified in Schedule E; </t>
  </si>
  <si>
    <t xml:space="preserve">29.1.2 the opening RAB value; </t>
  </si>
  <si>
    <t xml:space="preserve">29.1.3 the actual amounts by month of commissioning in the disclosure year for value of commissioned asset of approved base capex and major capex; </t>
  </si>
  <si>
    <t xml:space="preserve">29.1.4 the WACC; </t>
  </si>
  <si>
    <t>29.1.5 depreciation, including any capitalised interest depreciation adjustments required to align Transpower’s cost of financing on its works under construction with the requirements of clause 2.2.7(2) of the Transpower IM;</t>
  </si>
  <si>
    <t>29.1.6 the opex allowance, excluding operating lease payments capitalised in
accordance with the Transpower IM</t>
  </si>
  <si>
    <t xml:space="preserve">29.1.1 the corporate tax rate; </t>
  </si>
  <si>
    <t>The effect of the corporate tax rate is calculated in Tab 15 and flows though to Tab 4, Row 41</t>
  </si>
  <si>
    <t>29.1.8 the regulatory tax allowance calculated:</t>
  </si>
  <si>
    <t xml:space="preserve">a) by applying the tax rules and corporate tax rate to the regulatory profit/(loss) before tax in accordance with Part 2, Subpart 3 of the Transpower IM; </t>
  </si>
  <si>
    <t xml:space="preserve">Tab 15  </t>
  </si>
  <si>
    <t>The calculation complies with these requirements except for the amount of opex that is included. In line with Transpower's practice in RCP2, this calculation is using the opex allowance (and not actual opex), consistent with the amount of opex that is included in Schedule D and Schedule E of the Transpower IPP determination 2020.</t>
  </si>
  <si>
    <t>b) using the term credit spread differential allowance calculated in accordance with Part 2, Subpart 4 of the Transpower IM; and</t>
  </si>
  <si>
    <t xml:space="preserve">c) using as the amount of regulatory profit/(loss) before tax for the purpose of this calculation, the sum of:
(i) the regulatory profit/(loss) before tax disclosed by
Transpower for the disclosure year in accordance with the
ID determination; and 
(ii) the term credit spread differential allowance calculated in
subclause (b); </t>
  </si>
  <si>
    <t xml:space="preserve">29.1.9 the term credit spread differential allowance; </t>
  </si>
  <si>
    <t>29.1.10 for actual revenues received by Transpower:</t>
  </si>
  <si>
    <t>(a) the actual transmission revenue received in the pricing year, as converted to a disclosure year value in accordance with clause 9.2; and</t>
  </si>
  <si>
    <t>(b) the sum of other regulated income received in the disclosure year;</t>
  </si>
  <si>
    <t>In agreement with the Commerce Commission, we have used the other regulated income (item H) received in the pricing year (not the disclosure year, item Q)) in line with our practice since the start of RCP1. The only difference is in the cash-flow timing, which, over time, creates a neutral outcome.</t>
  </si>
  <si>
    <t>29.1.11 the amount of the forecast EV adjustment included in the forecast MAR;</t>
  </si>
  <si>
    <t>29.1.12 the actual pass-through costs and recoverable costs calculated in
accordance with Schedule H; and</t>
  </si>
  <si>
    <t xml:space="preserve">29.1.13 any voluntary reduction in actual transmission revenue made by
Transpower for the pricing year. </t>
  </si>
  <si>
    <t>29.2 For the purposes of any disparity adjustments for calculating the ex-post economic gain or loss in clause 29.1, and for any disparity adjustments for calculating the opex incentive amount in clause 33.1-33.2, the forecast CPI that applied when the opex allowance and forecast opex were determined</t>
  </si>
  <si>
    <t>Compliance checklist for EV account summary</t>
  </si>
  <si>
    <t>31. EV account summary</t>
  </si>
  <si>
    <t>31.1 For the purposes of providing the information specified in clause 24.1.6 for the disclosure year, the updated summary of the EV account must show:</t>
  </si>
  <si>
    <t>31.1.1 a reconciliation of the opening and closing balances of the EV account that
takes into account:</t>
  </si>
  <si>
    <t xml:space="preserve">(a) the opening balance of the EV account; </t>
  </si>
  <si>
    <t>(b) the calculation of interest at the post-tax estimate corresponding to WACC on the opening balance of the EV account;</t>
  </si>
  <si>
    <t xml:space="preserve">(c) Transpower’s allocation of EV account entries to the respective HVAC and HVDC customers; and </t>
  </si>
  <si>
    <t>The EV account entries are split between HVAC and HVDC for compliance and the allocation will not be a true reflection going forward due to the TPM changes from PY23/24. For compliance purposes, this is not a reflection of how it will be allocated through the TPM</t>
  </si>
  <si>
    <t>(d) post-tax amounts included in calculating the forecast EV adjustments in respect of the closing EV account balance for the final disclosure year of RCP2;</t>
  </si>
  <si>
    <t xml:space="preserve">31.1.2 the forecast EV account balance at the end of RCP3, taking into account forecast EV adjustments and interest at the post-tax estimate corresponding to WACC on the forecast opening EV account balance for each disclosure year; </t>
  </si>
  <si>
    <t>31.1.3 the source of calculation of the EV account entries referred to in
clause 31.1.1(c) for:</t>
  </si>
  <si>
    <t>(a) the ex-post economic gain or loss calculated for the final disclosure year of RCP2;</t>
  </si>
  <si>
    <t xml:space="preserve">Tab 16 </t>
  </si>
  <si>
    <t>(b) the after-tax gain or loss in respect of an instrument that ceases to be an effective hedge for the final disclosure year of RCP2;</t>
  </si>
  <si>
    <t>c) the after-tax gain or loss in respect of a commodity instrument that is not an effective hedge for the final disclosure year of RCP2;</t>
  </si>
  <si>
    <t>(d) the ex-post economic gain or loss for the disclosure year;</t>
  </si>
  <si>
    <t>(e) the after-tax gain or loss on capital expenditure commitments;</t>
  </si>
  <si>
    <t xml:space="preserve">(f) the after-tax economic gain or loss of a grid output adjustment, calculated in accordance with Schedule B, clause B2(1) of the Capex IM; </t>
  </si>
  <si>
    <t>The formulae we use to calculate the grid output adjustments (Term I) for GP1, GP2, AP1 and AP2 are different from the formula prescribed in the Transpower Capex IM. See Tab 19 for further context.</t>
  </si>
  <si>
    <t>(g) the after-tax economic gain or loss of a base capex expenditure adjustment, calculated in accordance with Schedule B, clause B1(1) of the Capex IM;</t>
  </si>
  <si>
    <t>(h) the after-tax economic gain or loss of a major capex expenditure and output adjustment, calculated in accordance with Schedule B, clause B3(1) of the Capex IM; and</t>
  </si>
  <si>
    <t>(i) the after-tax amount of a major capex sunk costs adjustment, calculated in accordance with clause 3.3.7 of the Capex IM.</t>
  </si>
  <si>
    <t>31.2 For the purposes of calculating EV account entries, Transpower must use:</t>
  </si>
  <si>
    <t>31.2.1 the major capex incentive rate;</t>
  </si>
  <si>
    <t xml:space="preserve">31.2.2 the base capex standard incentive rate; </t>
  </si>
  <si>
    <t xml:space="preserve">31.2.3 the base capex low incentive rate; </t>
  </si>
  <si>
    <t>31.2.4 the low incentive rate base capex allowance in accordance with Schedule
C3, Column 7;</t>
  </si>
  <si>
    <t>31.2.5 the standard incentive rate base capex allowance in accordance with
Schedule C4, Column 7;</t>
  </si>
  <si>
    <t>Tab 20 via Tab 17</t>
  </si>
  <si>
    <t>31.2.6 the forecast CPI used to determine the low incentive rate base capex
allowance and the standard incentive rate base capex allowance in
Schedule C3, Column 7 and Schedule C4, Column 7, being [see IPP]</t>
  </si>
  <si>
    <t>31.2.7 the forecast FX rate used to determine the low incentive rate base capex
allowance and the standard incentive rate base capex allowance in
Schedule C3, Column 7 and Schedule C4, Column 7, for the conversion of US
dollars to NZ dollars, being [see IPP]</t>
  </si>
  <si>
    <t>Tab 21 via Tab 17</t>
  </si>
  <si>
    <t>31.2.8 the forecast FX rate used to determine the low incentive rate base capex
allowance and the standard incentive rate base capex allowance in
Schedule C3, Column 7 and Schedule C4, Column 7 for the conversion of the
following currencies to NZ dollars: [see IPP]</t>
  </si>
  <si>
    <t>31.2.9 the amount of the standard incentive rate base capex allowance in Schedule C4, Column 7 to which the forecast FX rate applies, which is set out in Table 5.1: [see IPP]</t>
  </si>
  <si>
    <t>The Annual Compliance Statement - Part 2 (alternative)</t>
  </si>
  <si>
    <t>For the current Disclosure Year 2024/25, compliance with Quality standard information is specified in above Table column AF.
All measures met their Quality Standards i.e., GP1, GP2, AP1, AP2 and Asset Health measures (Power Transformers and Outdoor Circuit Breakers). Note: The Approved Normalisation event is excluded in GP1 and GP2. Details of the Normalisation event are provided in Information to accompany Annual Compliance Statement Tab 1.  
AP1's assessed value is outside the collar. Further details are provided in the Information to accompany Annual Compliance Statement Tab 8. Note for this disclosure we have adjusted 0.7% for Project K related works as per IPP determination clause 17.3
AP2's Quality Standard has been met. AP2 assessed value is better than the Collar.</t>
  </si>
  <si>
    <t>N/A - all quality standards have been complied with.</t>
  </si>
  <si>
    <t>Volunatry revenues foregone</t>
  </si>
  <si>
    <t xml:space="preserve">Transpower has a voluntary revenue reduction of $12.2m for  the disclosure year. This adjustment is for prior years under reporting of self-insurance payments from RRL to Transpower. </t>
  </si>
  <si>
    <t xml:space="preserve"> </t>
  </si>
  <si>
    <r>
      <t xml:space="preserve">Alternative disclosures (to show the impact of exceptional events on the quality standards and the grid output adjustment) - </t>
    </r>
    <r>
      <rPr>
        <b/>
        <sz val="11"/>
        <color rgb="FF7030A0"/>
        <rFont val="Calibri"/>
        <family val="2"/>
        <scheme val="minor"/>
      </rPr>
      <t>Tab colour purple</t>
    </r>
  </si>
  <si>
    <t>Transpower IPP determination 2020, Part 5, clause 23.2.2/3/4 (excluding exceptional events)</t>
  </si>
  <si>
    <t>For the current Disclosure Year 2024/25, compliance with Quality standard information is specified in above Table column AF.
All measures except AP2 met their Quality Standards i.e., GP1, GP2, AP1 and Asset Health measures (Power Transformers and Outdoor Circuit Breakers) met the Quality Standards. Note: An approved normalisation event is excluded in GP1 and GP2. Details of the Normalisation event is provided in Information to accompany Annual Compliance Statement Tab 1.  
AP1's assessed value is outside the collar. Further details are provided in the Information accompanying the Annual Compliance Statement Tab 8. Note: for this disclosure we have adjusted 0.7% for Project K related works as per IPP determination clause 17.3
For AP2, the Quality Standard has not been met. 
The Availability Percentage excluding Normalisation and the exceptional event identified (See Information to accompany Annual Compliance Statement Tab 9) would be 98.68% which is greater than (i.e. compliant with) Quality Standard.
AP2's assessed value is Outside Collar and details are provided in the Information to accompany Annual Compliance Statement Tab 9.</t>
  </si>
  <si>
    <t>See above table - Cell Q24 excludes excpetional event/s</t>
  </si>
  <si>
    <t>This wokbook also contains two alternative tabs that show the impact of exceptional events on Transpower's performance against the quality standards and the grid output adjustment. More information including a definition for exceptional events is on tabs 2(a) and 19(a).</t>
  </si>
  <si>
    <r>
      <t>Normalisation events</t>
    </r>
    <r>
      <rPr>
        <sz val="11"/>
        <rFont val="Calibri"/>
        <family val="2"/>
        <scheme val="minor"/>
      </rPr>
      <t xml:space="preserve"> are defined in the Transpower IPP determination 2020, clause 20.2. </t>
    </r>
    <r>
      <rPr>
        <u/>
        <sz val="11"/>
        <rFont val="Calibri"/>
        <family val="2"/>
        <scheme val="minor"/>
      </rPr>
      <t xml:space="preserve">
</t>
    </r>
    <r>
      <rPr>
        <sz val="11"/>
        <rFont val="Calibri"/>
        <family val="2"/>
        <scheme val="minor"/>
      </rPr>
      <t>Transpower defines</t>
    </r>
    <r>
      <rPr>
        <u/>
        <sz val="11"/>
        <rFont val="Calibri"/>
        <family val="2"/>
        <scheme val="minor"/>
      </rPr>
      <t xml:space="preserve"> exceptional events</t>
    </r>
    <r>
      <rPr>
        <sz val="11"/>
        <rFont val="Calibri"/>
        <family val="2"/>
        <scheme val="minor"/>
      </rPr>
      <t xml:space="preserve"> as per below:
</t>
    </r>
    <r>
      <rPr>
        <u/>
        <sz val="11"/>
        <rFont val="Calibri"/>
        <family val="2"/>
        <scheme val="minor"/>
      </rPr>
      <t>for unplanned outages</t>
    </r>
    <r>
      <rPr>
        <sz val="11"/>
        <rFont val="Calibri"/>
        <family val="2"/>
        <scheme val="minor"/>
      </rPr>
      <t xml:space="preserve">: 
- there is a work restriction or delay that cannot be reasonably foreseen under GEIP and is beyond Transpower's reasonable control; and 
- the management of the unplanned outage is consistent with GEIP.
</t>
    </r>
    <r>
      <rPr>
        <u/>
        <sz val="11"/>
        <rFont val="Calibri"/>
        <family val="2"/>
        <scheme val="minor"/>
      </rPr>
      <t>for planned outages</t>
    </r>
    <r>
      <rPr>
        <sz val="11"/>
        <rFont val="Calibri"/>
        <family val="2"/>
        <scheme val="minor"/>
      </rPr>
      <t>: 
- requires an outage of 600 or more hours; 
- was not included in the RCP3 decision because Transpower did not know of the potential outage requirement or is associated with a project which was not committed (as required in the IPP development process);
- the need for the work is outside Transpower’s reasonable control e.g. third-party decision or announcement that impacts the electricity market or security of supply; and 
- delivering the work is consistent with GEIP and/or other regulatory, contractual or other obligations.</t>
    </r>
  </si>
  <si>
    <t>The quality standard for AP2 was not complied with because of the 8,498 outage hours associated with the planned outage to excavate joint bays and replacing cable joints on the PAK-WKM-2 circuit. The outage hours from these planned outages correspond to 1.37% AP2 unavailability.  If these outage hours were excluded, we would have met the quality standard. Cell Q24 in the table above shows Transpower's performance against the quality standards, including these events. 
We consider that these outages can be considered as an exceptional event. 
See Information to accompany Annual Compliance Statement Tab 9 for additional details on this outage.</t>
  </si>
  <si>
    <t>The allowance is calculated on Tab 15, Row 34 and flows through to Row 35 on Tab 4</t>
  </si>
  <si>
    <t>Refer to IM decision 23-Apri-2024 2.2.7 (3) c</t>
  </si>
  <si>
    <t>RCP3 Revenue Model</t>
  </si>
  <si>
    <t>(Updates to the revenue model will occur for reopeners during the 5 years period)</t>
  </si>
  <si>
    <t>IPP Annual Compliance Statement 2019-2020</t>
  </si>
  <si>
    <t>https://static.transpower.co.nz/public/uncontrolled_docs/Revenue%20Model.xlsm?VersionId=gxfBt0isRt93uLyV4lqOSASZFxt0eqgh</t>
  </si>
  <si>
    <t>Revenue Model Link:</t>
  </si>
  <si>
    <t>Revenue Model Link</t>
  </si>
  <si>
    <t>The Independent Assurance Report</t>
  </si>
  <si>
    <t>IDC Rate, art the end of RCP 3 years, we adjust for the 3 months rate change (Apr-Jun)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</si>
</sst>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_);_(* \(#,##0.00\);_(* &quot;-&quot;??_);_(@_)"/>
    <numFmt numFmtId="165" formatCode="#,##0.00_-;\(#,##0.00\)"/>
    <numFmt numFmtId="166" formatCode="#,##0.000_-;\(#,##0.000\)"/>
    <numFmt numFmtId="167" formatCode="#,##0_-;\(#,##0\)"/>
    <numFmt numFmtId="168" formatCode="#,##0.0_-;\(#,##0.0\)"/>
    <numFmt numFmtId="169" formatCode="0.0"/>
    <numFmt numFmtId="170" formatCode="0.000%"/>
    <numFmt numFmtId="171" formatCode="0.000"/>
    <numFmt numFmtId="172" formatCode="#,##0.00000000000000"/>
    <numFmt numFmtId="173" formatCode="[$-1409]d\ mmmm\ yyyy;@"/>
    <numFmt numFmtId="174" formatCode="0.0%"/>
    <numFmt numFmtId="175" formatCode="#,##0.0000000000000"/>
    <numFmt numFmtId="176" formatCode="#,##0.0000000_-;\(#,##0.0000000\)"/>
    <numFmt numFmtId="177" formatCode="#,##0.000000"/>
    <numFmt numFmtId="178" formatCode="#,##0.0"/>
  </numFmts>
  <fonts count="52">
    <font>
      <sz val="11"/>
      <color theme="1"/>
      <name val="Calibri"/>
      <family val="2"/>
      <scheme val="minor"/>
    </font>
    <font>
      <sz val="8"/>
      <name val="Calibri"/>
      <family val="2"/>
      <scheme val="minor"/>
    </font>
    <font>
      <b/>
      <sz val="11"/>
      <color theme="1"/>
      <name val="Calibri"/>
      <family val="2"/>
      <scheme val="minor"/>
    </font>
    <font>
      <b/>
      <sz val="14"/>
      <color theme="1"/>
      <name val="Calibri"/>
      <family val="2"/>
      <scheme val="minor"/>
    </font>
    <font>
      <sz val="8"/>
      <color theme="1"/>
      <name val="Calibri"/>
      <family val="2"/>
      <scheme val="minor"/>
    </font>
    <font>
      <sz val="11"/>
      <color theme="1"/>
      <name val="Calibri"/>
      <family val="2"/>
      <scheme val="minor"/>
    </font>
    <font>
      <i/>
      <sz val="11"/>
      <color theme="1"/>
      <name val="Calibri"/>
      <family val="2"/>
      <scheme val="minor"/>
    </font>
    <font>
      <i/>
      <sz val="8"/>
      <color theme="1"/>
      <name val="Calibri"/>
      <family val="2"/>
      <scheme val="minor"/>
    </font>
    <font>
      <b/>
      <sz val="11"/>
      <color theme="0" tint="-0.499984740745262"/>
      <name val="Calibri"/>
      <family val="2"/>
      <scheme val="minor"/>
    </font>
    <font>
      <sz val="8"/>
      <color theme="0" tint="-0.499984740745262"/>
      <name val="Calibri"/>
      <family val="2"/>
      <scheme val="minor"/>
    </font>
    <font>
      <sz val="11"/>
      <color theme="0" tint="-0.499984740745262"/>
      <name val="Calibri"/>
      <family val="2"/>
      <scheme val="minor"/>
    </font>
    <font>
      <i/>
      <sz val="11"/>
      <color theme="0" tint="-0.499984740745262"/>
      <name val="Calibri"/>
      <family val="2"/>
      <scheme val="minor"/>
    </font>
    <font>
      <i/>
      <sz val="8"/>
      <color theme="0" tint="-0.499984740745262"/>
      <name val="Calibri"/>
      <family val="2"/>
      <scheme val="minor"/>
    </font>
    <font>
      <b/>
      <i/>
      <sz val="11"/>
      <color theme="0" tint="-0.499984740745262"/>
      <name val="Calibri"/>
      <family val="2"/>
      <scheme val="minor"/>
    </font>
    <font>
      <b/>
      <i/>
      <sz val="8"/>
      <color theme="0" tint="-0.499984740745262"/>
      <name val="Calibri"/>
      <family val="2"/>
      <scheme val="minor"/>
    </font>
    <font>
      <b/>
      <i/>
      <sz val="8"/>
      <color theme="1"/>
      <name val="Calibri"/>
      <family val="2"/>
      <scheme val="minor"/>
    </font>
    <font>
      <u/>
      <sz val="11"/>
      <color theme="10"/>
      <name val="Calibri"/>
      <family val="2"/>
      <scheme val="minor"/>
    </font>
    <font>
      <i/>
      <sz val="8"/>
      <color theme="4"/>
      <name val="Calibri"/>
      <family val="2"/>
      <scheme val="minor"/>
    </font>
    <font>
      <sz val="11"/>
      <color theme="4"/>
      <name val="Calibri"/>
      <family val="2"/>
      <scheme val="minor"/>
    </font>
    <font>
      <b/>
      <sz val="11"/>
      <color theme="4"/>
      <name val="Calibri"/>
      <family val="2"/>
      <scheme val="minor"/>
    </font>
    <font>
      <sz val="11"/>
      <name val="Calibri"/>
      <family val="2"/>
      <scheme val="minor"/>
    </font>
    <font>
      <b/>
      <u/>
      <sz val="14"/>
      <color theme="10"/>
      <name val="Calibri"/>
      <family val="2"/>
      <scheme val="minor"/>
    </font>
    <font>
      <i/>
      <sz val="11"/>
      <color rgb="FF0070C0"/>
      <name val="Calibri"/>
      <family val="2"/>
      <scheme val="minor"/>
    </font>
    <font>
      <sz val="11"/>
      <color rgb="FF0070C0"/>
      <name val="Calibri"/>
      <family val="2"/>
      <scheme val="minor"/>
    </font>
    <font>
      <u/>
      <sz val="11"/>
      <color theme="1"/>
      <name val="Calibri"/>
      <family val="2"/>
      <scheme val="minor"/>
    </font>
    <font>
      <b/>
      <sz val="8"/>
      <color theme="1"/>
      <name val="Calibri"/>
      <family val="2"/>
      <scheme val="minor"/>
    </font>
    <font>
      <b/>
      <sz val="22"/>
      <color theme="1"/>
      <name val="Calibri"/>
      <family val="2"/>
      <scheme val="minor"/>
    </font>
    <font>
      <sz val="18"/>
      <color theme="1"/>
      <name val="Calibri"/>
      <family val="2"/>
      <scheme val="minor"/>
    </font>
    <font>
      <b/>
      <sz val="11"/>
      <color rgb="FFC00000"/>
      <name val="Calibri"/>
      <family val="2"/>
      <scheme val="minor"/>
    </font>
    <font>
      <b/>
      <sz val="11"/>
      <color rgb="FFFFFF00"/>
      <name val="Calibri"/>
      <family val="2"/>
      <scheme val="minor"/>
    </font>
    <font>
      <b/>
      <sz val="11"/>
      <color rgb="FF92D050"/>
      <name val="Calibri"/>
      <family val="2"/>
      <scheme val="minor"/>
    </font>
    <font>
      <b/>
      <sz val="11"/>
      <color theme="4" tint="-0.249977111117893"/>
      <name val="Calibri"/>
      <family val="2"/>
      <scheme val="minor"/>
    </font>
    <font>
      <u/>
      <sz val="8"/>
      <color theme="10"/>
      <name val="Calibri"/>
      <family val="2"/>
      <scheme val="minor"/>
    </font>
    <font>
      <b/>
      <sz val="11"/>
      <color theme="8" tint="-0.249977111117893"/>
      <name val="Calibri"/>
      <family val="2"/>
      <scheme val="minor"/>
    </font>
    <font>
      <b/>
      <sz val="8"/>
      <color theme="0" tint="-0.499984740745262"/>
      <name val="Calibri"/>
      <family val="2"/>
      <scheme val="minor"/>
    </font>
    <font>
      <b/>
      <sz val="11"/>
      <color rgb="FF7030A0"/>
      <name val="Calibri"/>
      <family val="2"/>
      <scheme val="minor"/>
    </font>
    <font>
      <sz val="11"/>
      <color theme="4" tint="-0.249977111117893"/>
      <name val="Calibri"/>
      <family val="2"/>
      <scheme val="minor"/>
    </font>
    <font>
      <i/>
      <sz val="8"/>
      <name val="Calibri"/>
      <family val="2"/>
      <scheme val="minor"/>
    </font>
    <font>
      <sz val="10"/>
      <color theme="1"/>
      <name val="Calibri"/>
      <family val="4"/>
      <scheme val="minor"/>
    </font>
    <font>
      <u/>
      <sz val="10"/>
      <color theme="10"/>
      <name val="Calibri"/>
      <family val="4"/>
      <scheme val="minor"/>
    </font>
    <font>
      <b/>
      <sz val="11"/>
      <color rgb="FFFF0000"/>
      <name val="Calibri"/>
      <family val="2"/>
      <scheme val="minor"/>
    </font>
    <font>
      <sz val="11"/>
      <color rgb="FFFF0000"/>
      <name val="Calibri"/>
      <family val="2"/>
      <scheme val="minor"/>
    </font>
    <font>
      <b/>
      <sz val="11"/>
      <name val="Calibri"/>
      <family val="2"/>
      <scheme val="minor"/>
    </font>
    <font>
      <u/>
      <sz val="11"/>
      <name val="Calibri"/>
      <family val="2"/>
      <scheme val="minor"/>
    </font>
    <font>
      <b/>
      <sz val="10.5"/>
      <color rgb="FF165D81"/>
      <name val="Calibri"/>
      <family val="2"/>
    </font>
    <font>
      <b/>
      <i/>
      <sz val="11"/>
      <color theme="1"/>
      <name val="Calibri"/>
      <family val="2"/>
      <scheme val="minor"/>
    </font>
    <font>
      <sz val="11"/>
      <color theme="1"/>
      <name val="Segoe UI"/>
      <family val="2"/>
    </font>
    <font>
      <sz val="11"/>
      <color rgb="FFFFFF00"/>
      <name val="Calibri"/>
      <family val="2"/>
      <scheme val="minor"/>
    </font>
    <font>
      <b/>
      <i/>
      <sz val="10"/>
      <name val="Aptos"/>
      <family val="2"/>
    </font>
    <font>
      <sz val="11"/>
      <color theme="8" tint="-0.249977111117893"/>
      <name val="Calibri"/>
      <family val="2"/>
      <scheme val="minor"/>
    </font>
    <font>
      <sz val="12"/>
      <color theme="1"/>
      <name val="Calibri"/>
      <family val="2"/>
      <scheme val="minor"/>
    </font>
    <font>
      <u/>
      <sz val="9"/>
      <color theme="10"/>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lightUp">
        <bgColor theme="0"/>
      </patternFill>
    </fill>
    <fill>
      <patternFill patternType="lightUp">
        <bgColor theme="4" tint="0.79998168889431442"/>
      </patternFill>
    </fill>
    <fill>
      <patternFill patternType="solid">
        <fgColor theme="4" tint="0.79995117038483843"/>
        <bgColor indexed="64"/>
      </patternFill>
    </fill>
    <fill>
      <patternFill patternType="lightUp">
        <bgColor theme="4" tint="0.79995117038483843"/>
      </patternFill>
    </fill>
    <fill>
      <patternFill patternType="solid">
        <fgColor theme="0" tint="-0.14999847407452621"/>
        <bgColor indexed="64"/>
      </patternFill>
    </fill>
    <fill>
      <patternFill patternType="lightUp">
        <bgColor theme="0" tint="-0.14999847407452621"/>
      </patternFill>
    </fill>
    <fill>
      <patternFill patternType="solid">
        <fgColor theme="4" tint="0.79992065187536243"/>
        <bgColor indexed="64"/>
      </patternFill>
    </fill>
    <fill>
      <patternFill patternType="solid">
        <fgColor theme="0" tint="-0.249977111117893"/>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FF00"/>
        <bgColor indexed="64"/>
      </patternFill>
    </fill>
  </fills>
  <borders count="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medium">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top/>
      <bottom style="dashed">
        <color auto="1"/>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right/>
      <top/>
      <bottom style="double">
        <color indexed="64"/>
      </bottom>
      <diagonal/>
    </border>
    <border>
      <left style="thin">
        <color indexed="64"/>
      </left>
      <right style="medium">
        <color indexed="64"/>
      </right>
      <top style="thin">
        <color indexed="64"/>
      </top>
      <bottom style="thin">
        <color indexed="64"/>
      </bottom>
      <diagonal/>
    </border>
  </borders>
  <cellStyleXfs count="8">
    <xf numFmtId="0" fontId="0" fillId="0" borderId="0"/>
    <xf numFmtId="164" fontId="5" fillId="0" borderId="0" applyFont="0" applyFill="0" applyBorder="0" applyAlignment="0" applyProtection="0"/>
    <xf numFmtId="9" fontId="5" fillId="0" borderId="0" applyFont="0" applyFill="0" applyBorder="0" applyAlignment="0" applyProtection="0"/>
    <xf numFmtId="0" fontId="16" fillId="0" borderId="0" applyNumberFormat="0" applyFill="0" applyBorder="0" applyAlignment="0" applyProtection="0"/>
    <xf numFmtId="0" fontId="38" fillId="0" borderId="0"/>
    <xf numFmtId="0" fontId="39" fillId="0" borderId="0" applyNumberFormat="0" applyFill="0" applyBorder="0" applyAlignment="0" applyProtection="0"/>
    <xf numFmtId="43" fontId="5" fillId="0" borderId="0" applyFont="0" applyFill="0" applyBorder="0" applyAlignment="0" applyProtection="0"/>
    <xf numFmtId="0" fontId="44" fillId="0" borderId="56">
      <alignment horizontal="left" vertical="center"/>
    </xf>
  </cellStyleXfs>
  <cellXfs count="817">
    <xf numFmtId="0" fontId="0" fillId="0" borderId="0" xfId="0"/>
    <xf numFmtId="0" fontId="0" fillId="0" borderId="0" xfId="0" applyAlignment="1">
      <alignment horizontal="center"/>
    </xf>
    <xf numFmtId="0" fontId="0" fillId="2" borderId="0" xfId="0" applyFill="1"/>
    <xf numFmtId="0" fontId="0" fillId="2" borderId="0" xfId="0" applyFill="1" applyAlignment="1">
      <alignment wrapText="1"/>
    </xf>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5" xfId="0" applyFill="1" applyBorder="1" applyAlignment="1">
      <alignment wrapText="1"/>
    </xf>
    <xf numFmtId="0" fontId="0" fillId="2" borderId="6" xfId="0" applyFill="1" applyBorder="1"/>
    <xf numFmtId="0" fontId="0" fillId="2" borderId="7" xfId="0" applyFill="1" applyBorder="1"/>
    <xf numFmtId="0" fontId="3" fillId="2" borderId="1" xfId="0" applyFont="1" applyFill="1" applyBorder="1"/>
    <xf numFmtId="0" fontId="0" fillId="3" borderId="4" xfId="0" applyFill="1" applyBorder="1"/>
    <xf numFmtId="0" fontId="0" fillId="3" borderId="0" xfId="0" applyFill="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2" borderId="5" xfId="0" applyFill="1" applyBorder="1" applyAlignment="1">
      <alignment vertical="center"/>
    </xf>
    <xf numFmtId="0" fontId="3" fillId="2" borderId="2" xfId="0" applyFont="1" applyFill="1" applyBorder="1"/>
    <xf numFmtId="0" fontId="0" fillId="2" borderId="4" xfId="0" quotePrefix="1" applyFill="1" applyBorder="1"/>
    <xf numFmtId="0" fontId="0" fillId="2" borderId="0" xfId="0" quotePrefix="1" applyFill="1"/>
    <xf numFmtId="0" fontId="0" fillId="2" borderId="0" xfId="0" applyFill="1" applyAlignment="1">
      <alignment vertical="center"/>
    </xf>
    <xf numFmtId="0" fontId="0" fillId="2" borderId="8" xfId="0" applyFill="1" applyBorder="1"/>
    <xf numFmtId="0" fontId="2" fillId="2" borderId="4" xfId="0" applyFont="1" applyFill="1" applyBorder="1"/>
    <xf numFmtId="0" fontId="2" fillId="2" borderId="0" xfId="0" applyFont="1" applyFill="1"/>
    <xf numFmtId="0" fontId="0" fillId="3" borderId="4" xfId="0" quotePrefix="1" applyFill="1" applyBorder="1"/>
    <xf numFmtId="0" fontId="0" fillId="3" borderId="0" xfId="0" quotePrefix="1" applyFill="1"/>
    <xf numFmtId="0" fontId="0" fillId="3" borderId="0" xfId="0" applyFill="1" applyAlignment="1">
      <alignment vertical="center"/>
    </xf>
    <xf numFmtId="0" fontId="0" fillId="3" borderId="5" xfId="0" applyFill="1" applyBorder="1" applyAlignment="1">
      <alignment vertical="center"/>
    </xf>
    <xf numFmtId="0" fontId="2" fillId="2" borderId="1" xfId="0" applyFont="1" applyFill="1" applyBorder="1" applyAlignment="1">
      <alignment wrapText="1"/>
    </xf>
    <xf numFmtId="0" fontId="2" fillId="2" borderId="2" xfId="0" applyFont="1" applyFill="1" applyBorder="1" applyAlignment="1">
      <alignment wrapText="1"/>
    </xf>
    <xf numFmtId="0" fontId="2" fillId="2" borderId="3" xfId="0" applyFont="1" applyFill="1" applyBorder="1" applyAlignment="1">
      <alignment wrapText="1"/>
    </xf>
    <xf numFmtId="0" fontId="2" fillId="2" borderId="9" xfId="0" applyFont="1" applyFill="1" applyBorder="1"/>
    <xf numFmtId="0" fontId="4" fillId="2" borderId="9" xfId="0" applyFont="1" applyFill="1" applyBorder="1"/>
    <xf numFmtId="0" fontId="4" fillId="2" borderId="10" xfId="0" applyFont="1" applyFill="1" applyBorder="1"/>
    <xf numFmtId="0" fontId="4" fillId="2" borderId="11" xfId="0" applyFont="1" applyFill="1" applyBorder="1"/>
    <xf numFmtId="165" fontId="5" fillId="2" borderId="0" xfId="1" applyNumberFormat="1" applyFont="1" applyFill="1" applyBorder="1"/>
    <xf numFmtId="165" fontId="5" fillId="3" borderId="0" xfId="1" applyNumberFormat="1" applyFont="1" applyFill="1" applyBorder="1"/>
    <xf numFmtId="0" fontId="0" fillId="2" borderId="4" xfId="0" applyFill="1" applyBorder="1" applyAlignment="1">
      <alignment vertical="center"/>
    </xf>
    <xf numFmtId="165" fontId="5" fillId="3" borderId="4" xfId="1" applyNumberFormat="1" applyFont="1" applyFill="1" applyBorder="1"/>
    <xf numFmtId="165" fontId="5" fillId="2" borderId="4" xfId="1" applyNumberFormat="1" applyFont="1" applyFill="1" applyBorder="1"/>
    <xf numFmtId="0" fontId="2" fillId="2" borderId="9" xfId="0" applyFont="1" applyFill="1" applyBorder="1" applyAlignment="1">
      <alignment vertical="center"/>
    </xf>
    <xf numFmtId="165" fontId="2" fillId="2" borderId="9" xfId="0" applyNumberFormat="1" applyFont="1" applyFill="1" applyBorder="1" applyAlignment="1">
      <alignment vertical="center"/>
    </xf>
    <xf numFmtId="165" fontId="2" fillId="2" borderId="10" xfId="0" applyNumberFormat="1" applyFont="1" applyFill="1" applyBorder="1" applyAlignment="1">
      <alignment vertical="center"/>
    </xf>
    <xf numFmtId="0" fontId="2" fillId="2" borderId="12" xfId="0" applyFont="1" applyFill="1" applyBorder="1" applyAlignment="1">
      <alignment vertical="center"/>
    </xf>
    <xf numFmtId="165" fontId="2" fillId="2" borderId="14" xfId="0" applyNumberFormat="1" applyFont="1" applyFill="1" applyBorder="1" applyAlignment="1">
      <alignment vertical="center"/>
    </xf>
    <xf numFmtId="165" fontId="2" fillId="2" borderId="13" xfId="0" applyNumberFormat="1" applyFont="1" applyFill="1" applyBorder="1" applyAlignment="1">
      <alignment vertical="center"/>
    </xf>
    <xf numFmtId="0" fontId="0" fillId="2" borderId="15" xfId="0" applyFill="1" applyBorder="1"/>
    <xf numFmtId="0" fontId="2" fillId="2" borderId="16" xfId="0" applyFont="1" applyFill="1" applyBorder="1" applyAlignment="1">
      <alignment vertical="center"/>
    </xf>
    <xf numFmtId="165" fontId="2" fillId="2" borderId="18" xfId="0" applyNumberFormat="1" applyFont="1" applyFill="1" applyBorder="1" applyAlignment="1">
      <alignment vertical="center"/>
    </xf>
    <xf numFmtId="165" fontId="2" fillId="2" borderId="17" xfId="0" applyNumberFormat="1" applyFont="1" applyFill="1" applyBorder="1" applyAlignment="1">
      <alignment vertical="center"/>
    </xf>
    <xf numFmtId="0" fontId="2" fillId="2" borderId="21" xfId="0" applyFont="1" applyFill="1" applyBorder="1" applyAlignment="1">
      <alignment wrapText="1"/>
    </xf>
    <xf numFmtId="0" fontId="4" fillId="2" borderId="20" xfId="0" applyFont="1" applyFill="1" applyBorder="1"/>
    <xf numFmtId="0" fontId="0" fillId="2" borderId="22" xfId="0" applyFill="1" applyBorder="1" applyAlignment="1">
      <alignment vertical="center"/>
    </xf>
    <xf numFmtId="165" fontId="5" fillId="3" borderId="22" xfId="1" applyNumberFormat="1" applyFont="1" applyFill="1" applyBorder="1"/>
    <xf numFmtId="165" fontId="5" fillId="2" borderId="22" xfId="1" applyNumberFormat="1" applyFont="1" applyFill="1" applyBorder="1"/>
    <xf numFmtId="165" fontId="2" fillId="2" borderId="20" xfId="0" applyNumberFormat="1" applyFont="1" applyFill="1" applyBorder="1" applyAlignment="1">
      <alignment vertical="center"/>
    </xf>
    <xf numFmtId="165" fontId="2" fillId="2" borderId="24" xfId="0" applyNumberFormat="1" applyFont="1" applyFill="1" applyBorder="1" applyAlignment="1">
      <alignment vertical="center"/>
    </xf>
    <xf numFmtId="165" fontId="5" fillId="2" borderId="25" xfId="1" applyNumberFormat="1" applyFont="1" applyFill="1" applyBorder="1"/>
    <xf numFmtId="165" fontId="2" fillId="2" borderId="26" xfId="0" applyNumberFormat="1" applyFont="1" applyFill="1" applyBorder="1" applyAlignment="1">
      <alignment vertical="center"/>
    </xf>
    <xf numFmtId="0" fontId="2" fillId="2" borderId="27" xfId="0" applyFont="1" applyFill="1" applyBorder="1" applyAlignment="1">
      <alignment wrapText="1"/>
    </xf>
    <xf numFmtId="0" fontId="4" fillId="2" borderId="19" xfId="0" applyFont="1" applyFill="1" applyBorder="1"/>
    <xf numFmtId="0" fontId="2" fillId="2" borderId="19" xfId="0" applyFont="1" applyFill="1" applyBorder="1" applyAlignment="1">
      <alignment vertical="center"/>
    </xf>
    <xf numFmtId="10" fontId="0" fillId="2" borderId="5" xfId="0" applyNumberFormat="1" applyFill="1" applyBorder="1" applyAlignment="1">
      <alignment vertical="center"/>
    </xf>
    <xf numFmtId="166" fontId="5" fillId="3" borderId="5" xfId="1" applyNumberFormat="1" applyFont="1" applyFill="1" applyBorder="1"/>
    <xf numFmtId="166" fontId="5" fillId="2" borderId="5" xfId="1" applyNumberFormat="1" applyFont="1" applyFill="1" applyBorder="1"/>
    <xf numFmtId="0" fontId="2" fillId="2" borderId="11" xfId="0" applyFont="1" applyFill="1" applyBorder="1" applyAlignment="1">
      <alignment vertical="center"/>
    </xf>
    <xf numFmtId="0" fontId="0" fillId="2" borderId="28" xfId="0" applyFill="1" applyBorder="1"/>
    <xf numFmtId="0" fontId="0" fillId="3" borderId="28" xfId="0" applyFill="1" applyBorder="1"/>
    <xf numFmtId="0" fontId="2" fillId="2" borderId="29" xfId="0" applyFont="1" applyFill="1" applyBorder="1" applyAlignment="1">
      <alignment vertical="center"/>
    </xf>
    <xf numFmtId="0" fontId="2" fillId="2" borderId="30" xfId="0" applyFont="1" applyFill="1" applyBorder="1" applyAlignment="1">
      <alignment vertical="center"/>
    </xf>
    <xf numFmtId="165" fontId="5" fillId="5" borderId="0" xfId="1" applyNumberFormat="1" applyFont="1" applyFill="1" applyBorder="1"/>
    <xf numFmtId="165" fontId="5" fillId="5" borderId="22" xfId="1" applyNumberFormat="1" applyFont="1" applyFill="1" applyBorder="1"/>
    <xf numFmtId="165" fontId="5" fillId="5" borderId="4" xfId="1" applyNumberFormat="1" applyFont="1" applyFill="1" applyBorder="1"/>
    <xf numFmtId="0" fontId="0" fillId="2" borderId="1" xfId="0" applyFill="1" applyBorder="1"/>
    <xf numFmtId="0" fontId="0" fillId="2" borderId="27" xfId="0" applyFill="1" applyBorder="1"/>
    <xf numFmtId="166" fontId="5" fillId="2" borderId="3" xfId="1" applyNumberFormat="1" applyFont="1" applyFill="1" applyBorder="1"/>
    <xf numFmtId="165" fontId="5" fillId="4" borderId="2" xfId="1" applyNumberFormat="1" applyFont="1" applyFill="1" applyBorder="1"/>
    <xf numFmtId="165" fontId="5" fillId="4" borderId="21" xfId="1" applyNumberFormat="1" applyFont="1" applyFill="1" applyBorder="1"/>
    <xf numFmtId="165" fontId="5" fillId="4" borderId="1" xfId="1" applyNumberFormat="1" applyFont="1" applyFill="1" applyBorder="1"/>
    <xf numFmtId="0" fontId="0" fillId="2" borderId="31" xfId="0" applyFill="1" applyBorder="1"/>
    <xf numFmtId="166" fontId="5" fillId="2" borderId="8" xfId="1" applyNumberFormat="1" applyFont="1" applyFill="1" applyBorder="1"/>
    <xf numFmtId="165" fontId="5" fillId="4" borderId="7" xfId="1" applyNumberFormat="1" applyFont="1" applyFill="1" applyBorder="1"/>
    <xf numFmtId="165" fontId="5" fillId="4" borderId="23" xfId="1" applyNumberFormat="1" applyFont="1" applyFill="1" applyBorder="1"/>
    <xf numFmtId="165" fontId="5" fillId="4" borderId="6" xfId="1" applyNumberFormat="1" applyFont="1" applyFill="1" applyBorder="1"/>
    <xf numFmtId="0" fontId="2" fillId="2" borderId="19" xfId="0" applyFont="1" applyFill="1" applyBorder="1" applyAlignment="1">
      <alignment wrapText="1"/>
    </xf>
    <xf numFmtId="165" fontId="5" fillId="2" borderId="1" xfId="1" applyNumberFormat="1" applyFont="1" applyFill="1" applyBorder="1"/>
    <xf numFmtId="165" fontId="5" fillId="2" borderId="2" xfId="1" applyNumberFormat="1" applyFont="1" applyFill="1" applyBorder="1"/>
    <xf numFmtId="165" fontId="5" fillId="2" borderId="21" xfId="1" applyNumberFormat="1" applyFont="1" applyFill="1" applyBorder="1"/>
    <xf numFmtId="0" fontId="0" fillId="3" borderId="31" xfId="0" applyFill="1" applyBorder="1"/>
    <xf numFmtId="0" fontId="0" fillId="5" borderId="31" xfId="0" applyFill="1" applyBorder="1"/>
    <xf numFmtId="165" fontId="5" fillId="3" borderId="23" xfId="1" applyNumberFormat="1" applyFont="1" applyFill="1" applyBorder="1"/>
    <xf numFmtId="165" fontId="5" fillId="3" borderId="6" xfId="1" applyNumberFormat="1" applyFont="1" applyFill="1" applyBorder="1"/>
    <xf numFmtId="165" fontId="5" fillId="3" borderId="7" xfId="1" applyNumberFormat="1" applyFont="1" applyFill="1" applyBorder="1"/>
    <xf numFmtId="165" fontId="5" fillId="5" borderId="6" xfId="1" applyNumberFormat="1" applyFont="1" applyFill="1" applyBorder="1"/>
    <xf numFmtId="165" fontId="5" fillId="5" borderId="7" xfId="1" applyNumberFormat="1" applyFont="1" applyFill="1" applyBorder="1"/>
    <xf numFmtId="165" fontId="5" fillId="5" borderId="23" xfId="1" applyNumberFormat="1" applyFont="1" applyFill="1" applyBorder="1"/>
    <xf numFmtId="0" fontId="2" fillId="2" borderId="0" xfId="0" applyFont="1" applyFill="1" applyAlignment="1">
      <alignment vertical="center"/>
    </xf>
    <xf numFmtId="165" fontId="2" fillId="2" borderId="0" xfId="0" applyNumberFormat="1" applyFont="1" applyFill="1" applyAlignment="1">
      <alignment vertical="center"/>
    </xf>
    <xf numFmtId="0" fontId="0" fillId="4" borderId="28" xfId="0" applyFill="1" applyBorder="1"/>
    <xf numFmtId="166" fontId="5" fillId="4" borderId="5" xfId="1" applyNumberFormat="1" applyFont="1" applyFill="1" applyBorder="1"/>
    <xf numFmtId="165" fontId="5" fillId="4" borderId="4" xfId="1" applyNumberFormat="1" applyFont="1" applyFill="1" applyBorder="1"/>
    <xf numFmtId="165" fontId="5" fillId="4" borderId="0" xfId="1" applyNumberFormat="1" applyFont="1" applyFill="1" applyBorder="1"/>
    <xf numFmtId="165" fontId="2" fillId="4" borderId="9" xfId="0" applyNumberFormat="1" applyFont="1" applyFill="1" applyBorder="1" applyAlignment="1">
      <alignment vertical="center"/>
    </xf>
    <xf numFmtId="165" fontId="2" fillId="4" borderId="10" xfId="0" applyNumberFormat="1" applyFont="1" applyFill="1" applyBorder="1" applyAlignment="1">
      <alignment vertical="center"/>
    </xf>
    <xf numFmtId="166" fontId="5" fillId="4" borderId="11" xfId="1" applyNumberFormat="1" applyFont="1" applyFill="1" applyBorder="1"/>
    <xf numFmtId="0" fontId="0" fillId="2" borderId="32" xfId="0" applyFill="1" applyBorder="1"/>
    <xf numFmtId="166" fontId="5" fillId="4" borderId="34" xfId="1" applyNumberFormat="1" applyFont="1" applyFill="1" applyBorder="1"/>
    <xf numFmtId="165" fontId="5" fillId="4" borderId="36" xfId="1" applyNumberFormat="1" applyFont="1" applyFill="1" applyBorder="1"/>
    <xf numFmtId="165" fontId="5" fillId="4" borderId="35" xfId="1" applyNumberFormat="1" applyFont="1" applyFill="1" applyBorder="1"/>
    <xf numFmtId="165" fontId="5" fillId="2" borderId="36" xfId="1" applyNumberFormat="1" applyFont="1" applyFill="1" applyBorder="1"/>
    <xf numFmtId="165" fontId="5" fillId="2" borderId="35" xfId="1" applyNumberFormat="1" applyFont="1" applyFill="1" applyBorder="1"/>
    <xf numFmtId="165" fontId="5" fillId="4" borderId="38" xfId="1" applyNumberFormat="1" applyFont="1" applyFill="1" applyBorder="1"/>
    <xf numFmtId="165" fontId="5" fillId="4" borderId="25" xfId="1" applyNumberFormat="1" applyFont="1" applyFill="1" applyBorder="1"/>
    <xf numFmtId="0" fontId="2" fillId="2" borderId="39" xfId="0" applyFont="1" applyFill="1" applyBorder="1" applyAlignment="1">
      <alignment vertical="center"/>
    </xf>
    <xf numFmtId="165" fontId="2" fillId="4" borderId="40" xfId="0" applyNumberFormat="1" applyFont="1" applyFill="1" applyBorder="1" applyAlignment="1">
      <alignment vertical="center"/>
    </xf>
    <xf numFmtId="166" fontId="5" fillId="4" borderId="41" xfId="1" applyNumberFormat="1" applyFont="1" applyFill="1" applyBorder="1"/>
    <xf numFmtId="0" fontId="0" fillId="3" borderId="15" xfId="0" applyFill="1" applyBorder="1"/>
    <xf numFmtId="0" fontId="0" fillId="5" borderId="28" xfId="0" applyFill="1" applyBorder="1"/>
    <xf numFmtId="166" fontId="5" fillId="5" borderId="5" xfId="1" applyNumberFormat="1" applyFont="1" applyFill="1" applyBorder="1"/>
    <xf numFmtId="165" fontId="5" fillId="5" borderId="25" xfId="1" applyNumberFormat="1" applyFont="1" applyFill="1" applyBorder="1"/>
    <xf numFmtId="165" fontId="5" fillId="2" borderId="38" xfId="1" applyNumberFormat="1" applyFont="1" applyFill="1" applyBorder="1"/>
    <xf numFmtId="165" fontId="5" fillId="3" borderId="25" xfId="1" applyNumberFormat="1" applyFont="1" applyFill="1" applyBorder="1"/>
    <xf numFmtId="165" fontId="2" fillId="2" borderId="40" xfId="0" applyNumberFormat="1" applyFont="1" applyFill="1" applyBorder="1" applyAlignment="1">
      <alignment vertical="center"/>
    </xf>
    <xf numFmtId="0" fontId="0" fillId="4" borderId="27" xfId="0" applyFill="1" applyBorder="1"/>
    <xf numFmtId="0" fontId="0" fillId="4" borderId="31" xfId="0" applyFill="1" applyBorder="1"/>
    <xf numFmtId="167" fontId="5" fillId="3" borderId="0" xfId="1" applyNumberFormat="1" applyFont="1" applyFill="1" applyBorder="1"/>
    <xf numFmtId="167" fontId="5" fillId="2" borderId="10" xfId="1" applyNumberFormat="1" applyFont="1" applyFill="1" applyBorder="1"/>
    <xf numFmtId="167" fontId="5" fillId="2" borderId="0" xfId="1" applyNumberFormat="1" applyFont="1" applyFill="1" applyBorder="1"/>
    <xf numFmtId="167" fontId="5" fillId="2" borderId="17" xfId="1" applyNumberFormat="1" applyFont="1" applyFill="1" applyBorder="1"/>
    <xf numFmtId="167" fontId="5" fillId="2" borderId="35" xfId="1" applyNumberFormat="1" applyFont="1" applyFill="1" applyBorder="1"/>
    <xf numFmtId="166" fontId="5" fillId="4" borderId="43" xfId="1" applyNumberFormat="1" applyFont="1" applyFill="1" applyBorder="1"/>
    <xf numFmtId="166" fontId="5" fillId="5" borderId="44" xfId="1" applyNumberFormat="1" applyFont="1" applyFill="1" applyBorder="1"/>
    <xf numFmtId="166" fontId="5" fillId="4" borderId="45" xfId="1" applyNumberFormat="1" applyFont="1" applyFill="1" applyBorder="1"/>
    <xf numFmtId="0" fontId="0" fillId="2" borderId="33" xfId="0" quotePrefix="1" applyFill="1" applyBorder="1"/>
    <xf numFmtId="0" fontId="6" fillId="2" borderId="0" xfId="0" applyFont="1" applyFill="1"/>
    <xf numFmtId="166" fontId="6" fillId="2" borderId="0" xfId="1" applyNumberFormat="1" applyFont="1" applyFill="1" applyBorder="1"/>
    <xf numFmtId="165" fontId="6" fillId="2" borderId="0" xfId="0" applyNumberFormat="1" applyFont="1" applyFill="1" applyAlignment="1">
      <alignment vertical="center"/>
    </xf>
    <xf numFmtId="0" fontId="6" fillId="2" borderId="46" xfId="0" applyFont="1" applyFill="1" applyBorder="1"/>
    <xf numFmtId="166" fontId="6" fillId="2" borderId="46" xfId="1" applyNumberFormat="1" applyFont="1" applyFill="1" applyBorder="1"/>
    <xf numFmtId="165" fontId="6" fillId="2" borderId="46" xfId="1" applyNumberFormat="1" applyFont="1" applyFill="1" applyBorder="1"/>
    <xf numFmtId="168" fontId="2" fillId="2" borderId="10" xfId="0" applyNumberFormat="1" applyFont="1" applyFill="1" applyBorder="1" applyAlignment="1">
      <alignment vertical="center"/>
    </xf>
    <xf numFmtId="168" fontId="5" fillId="2" borderId="0" xfId="1" applyNumberFormat="1" applyFont="1" applyFill="1" applyBorder="1"/>
    <xf numFmtId="168" fontId="5" fillId="3" borderId="0" xfId="1" applyNumberFormat="1" applyFont="1" applyFill="1" applyBorder="1"/>
    <xf numFmtId="0" fontId="7" fillId="2" borderId="4" xfId="0" applyFont="1" applyFill="1" applyBorder="1"/>
    <xf numFmtId="0" fontId="2" fillId="2" borderId="2" xfId="0" applyFont="1" applyFill="1" applyBorder="1" applyAlignment="1">
      <alignment horizontal="left" wrapText="1"/>
    </xf>
    <xf numFmtId="0" fontId="2" fillId="2" borderId="10" xfId="0" applyFont="1" applyFill="1" applyBorder="1" applyAlignment="1">
      <alignment horizontal="left" wrapText="1"/>
    </xf>
    <xf numFmtId="0" fontId="2" fillId="2" borderId="47" xfId="0" applyFont="1" applyFill="1" applyBorder="1" applyAlignment="1">
      <alignment horizontal="left" wrapText="1"/>
    </xf>
    <xf numFmtId="168" fontId="2" fillId="2" borderId="47" xfId="0" applyNumberFormat="1" applyFont="1" applyFill="1" applyBorder="1" applyAlignment="1">
      <alignment vertical="center"/>
    </xf>
    <xf numFmtId="0" fontId="7" fillId="2" borderId="1" xfId="0" applyFont="1" applyFill="1" applyBorder="1"/>
    <xf numFmtId="0" fontId="0" fillId="2" borderId="9" xfId="0" applyFill="1" applyBorder="1"/>
    <xf numFmtId="0" fontId="8" fillId="2" borderId="1" xfId="0" applyFont="1" applyFill="1" applyBorder="1" applyAlignment="1">
      <alignment wrapText="1"/>
    </xf>
    <xf numFmtId="0" fontId="8" fillId="2" borderId="2" xfId="0" applyFont="1" applyFill="1" applyBorder="1" applyAlignment="1">
      <alignment wrapText="1"/>
    </xf>
    <xf numFmtId="0" fontId="8" fillId="2" borderId="21" xfId="0" applyFont="1" applyFill="1" applyBorder="1" applyAlignment="1">
      <alignment wrapText="1"/>
    </xf>
    <xf numFmtId="0" fontId="9" fillId="2" borderId="9" xfId="0" applyFont="1" applyFill="1" applyBorder="1"/>
    <xf numFmtId="0" fontId="9" fillId="2" borderId="10" xfId="0" applyFont="1" applyFill="1" applyBorder="1"/>
    <xf numFmtId="0" fontId="9" fillId="2" borderId="20" xfId="0" applyFont="1" applyFill="1" applyBorder="1"/>
    <xf numFmtId="0" fontId="10" fillId="2" borderId="4" xfId="0" applyFont="1" applyFill="1" applyBorder="1" applyAlignment="1">
      <alignment vertical="center"/>
    </xf>
    <xf numFmtId="0" fontId="10" fillId="2" borderId="0" xfId="0" applyFont="1" applyFill="1" applyAlignment="1">
      <alignment vertical="center"/>
    </xf>
    <xf numFmtId="0" fontId="10" fillId="2" borderId="22" xfId="0" applyFont="1" applyFill="1" applyBorder="1" applyAlignment="1">
      <alignment vertical="center"/>
    </xf>
    <xf numFmtId="165" fontId="10" fillId="3" borderId="4" xfId="1" applyNumberFormat="1" applyFont="1" applyFill="1" applyBorder="1"/>
    <xf numFmtId="165" fontId="10" fillId="3" borderId="0" xfId="1" applyNumberFormat="1" applyFont="1" applyFill="1" applyBorder="1"/>
    <xf numFmtId="165" fontId="10" fillId="3" borderId="22" xfId="1" applyNumberFormat="1" applyFont="1" applyFill="1" applyBorder="1"/>
    <xf numFmtId="165" fontId="10" fillId="2" borderId="4" xfId="1" applyNumberFormat="1" applyFont="1" applyFill="1" applyBorder="1"/>
    <xf numFmtId="165" fontId="10" fillId="2" borderId="0" xfId="1" applyNumberFormat="1" applyFont="1" applyFill="1" applyBorder="1"/>
    <xf numFmtId="165" fontId="10" fillId="2" borderId="22" xfId="1" applyNumberFormat="1" applyFont="1" applyFill="1" applyBorder="1"/>
    <xf numFmtId="165" fontId="10" fillId="4" borderId="1" xfId="1" applyNumberFormat="1" applyFont="1" applyFill="1" applyBorder="1"/>
    <xf numFmtId="165" fontId="10" fillId="4" borderId="2" xfId="1" applyNumberFormat="1" applyFont="1" applyFill="1" applyBorder="1"/>
    <xf numFmtId="165" fontId="10" fillId="4" borderId="21" xfId="1" applyNumberFormat="1" applyFont="1" applyFill="1" applyBorder="1"/>
    <xf numFmtId="165" fontId="10" fillId="5" borderId="4" xfId="1" applyNumberFormat="1" applyFont="1" applyFill="1" applyBorder="1"/>
    <xf numFmtId="165" fontId="10" fillId="5" borderId="0" xfId="1" applyNumberFormat="1" applyFont="1" applyFill="1" applyBorder="1"/>
    <xf numFmtId="165" fontId="10" fillId="5" borderId="22" xfId="1" applyNumberFormat="1" applyFont="1" applyFill="1" applyBorder="1"/>
    <xf numFmtId="165" fontId="10" fillId="4" borderId="6" xfId="1" applyNumberFormat="1" applyFont="1" applyFill="1" applyBorder="1"/>
    <xf numFmtId="165" fontId="10" fillId="4" borderId="7" xfId="1" applyNumberFormat="1" applyFont="1" applyFill="1" applyBorder="1"/>
    <xf numFmtId="165" fontId="10" fillId="4" borderId="23" xfId="1" applyNumberFormat="1" applyFont="1" applyFill="1" applyBorder="1"/>
    <xf numFmtId="0" fontId="8" fillId="2" borderId="9" xfId="0" applyFont="1" applyFill="1" applyBorder="1" applyAlignment="1">
      <alignment vertical="center"/>
    </xf>
    <xf numFmtId="0" fontId="8" fillId="2" borderId="10" xfId="0" applyFont="1" applyFill="1" applyBorder="1" applyAlignment="1">
      <alignment vertical="center"/>
    </xf>
    <xf numFmtId="0" fontId="8" fillId="2" borderId="20" xfId="0" applyFont="1" applyFill="1" applyBorder="1" applyAlignment="1">
      <alignment vertical="center"/>
    </xf>
    <xf numFmtId="165" fontId="10" fillId="3" borderId="23" xfId="1" applyNumberFormat="1" applyFont="1" applyFill="1" applyBorder="1"/>
    <xf numFmtId="165" fontId="10" fillId="2" borderId="1" xfId="1" applyNumberFormat="1" applyFont="1" applyFill="1" applyBorder="1"/>
    <xf numFmtId="165" fontId="10" fillId="2" borderId="2" xfId="1" applyNumberFormat="1" applyFont="1" applyFill="1" applyBorder="1"/>
    <xf numFmtId="165" fontId="10" fillId="2" borderId="21" xfId="1" applyNumberFormat="1" applyFont="1" applyFill="1" applyBorder="1"/>
    <xf numFmtId="165" fontId="10" fillId="5" borderId="6" xfId="1" applyNumberFormat="1" applyFont="1" applyFill="1" applyBorder="1"/>
    <xf numFmtId="165" fontId="10" fillId="5" borderId="7" xfId="1" applyNumberFormat="1" applyFont="1" applyFill="1" applyBorder="1"/>
    <xf numFmtId="165" fontId="10" fillId="5" borderId="23" xfId="1" applyNumberFormat="1" applyFont="1" applyFill="1" applyBorder="1"/>
    <xf numFmtId="165" fontId="10" fillId="4" borderId="32" xfId="1" applyNumberFormat="1" applyFont="1" applyFill="1" applyBorder="1"/>
    <xf numFmtId="165" fontId="10" fillId="4" borderId="35" xfId="1" applyNumberFormat="1" applyFont="1" applyFill="1" applyBorder="1"/>
    <xf numFmtId="165" fontId="10" fillId="4" borderId="37" xfId="1" applyNumberFormat="1" applyFont="1" applyFill="1" applyBorder="1"/>
    <xf numFmtId="165" fontId="10" fillId="5" borderId="15" xfId="1" applyNumberFormat="1" applyFont="1" applyFill="1" applyBorder="1"/>
    <xf numFmtId="165" fontId="10" fillId="4" borderId="10" xfId="1" applyNumberFormat="1" applyFont="1" applyFill="1" applyBorder="1"/>
    <xf numFmtId="165" fontId="10" fillId="4" borderId="20" xfId="1" applyNumberFormat="1" applyFont="1" applyFill="1" applyBorder="1"/>
    <xf numFmtId="165" fontId="10" fillId="4" borderId="15" xfId="1" applyNumberFormat="1" applyFont="1" applyFill="1" applyBorder="1"/>
    <xf numFmtId="165" fontId="10" fillId="4" borderId="0" xfId="1" applyNumberFormat="1" applyFont="1" applyFill="1" applyBorder="1"/>
    <xf numFmtId="165" fontId="10" fillId="4" borderId="22" xfId="1" applyNumberFormat="1" applyFont="1" applyFill="1" applyBorder="1"/>
    <xf numFmtId="165" fontId="10" fillId="4" borderId="17" xfId="1" applyNumberFormat="1" applyFont="1" applyFill="1" applyBorder="1"/>
    <xf numFmtId="165" fontId="10" fillId="4" borderId="42" xfId="1" applyNumberFormat="1" applyFont="1" applyFill="1" applyBorder="1"/>
    <xf numFmtId="165" fontId="10" fillId="2" borderId="6" xfId="1" applyNumberFormat="1" applyFont="1" applyFill="1" applyBorder="1"/>
    <xf numFmtId="165" fontId="10" fillId="2" borderId="7" xfId="1" applyNumberFormat="1" applyFont="1" applyFill="1" applyBorder="1"/>
    <xf numFmtId="165" fontId="10" fillId="3" borderId="6" xfId="1" applyNumberFormat="1" applyFont="1" applyFill="1" applyBorder="1"/>
    <xf numFmtId="165" fontId="10" fillId="3" borderId="7" xfId="1" applyNumberFormat="1" applyFont="1" applyFill="1" applyBorder="1"/>
    <xf numFmtId="165" fontId="10" fillId="7" borderId="6" xfId="1" applyNumberFormat="1" applyFont="1" applyFill="1" applyBorder="1"/>
    <xf numFmtId="165" fontId="10" fillId="7" borderId="7" xfId="1" applyNumberFormat="1" applyFont="1" applyFill="1" applyBorder="1"/>
    <xf numFmtId="165" fontId="10" fillId="7" borderId="23" xfId="1" applyNumberFormat="1" applyFont="1" applyFill="1" applyBorder="1"/>
    <xf numFmtId="0" fontId="8" fillId="4" borderId="39" xfId="0" applyFont="1" applyFill="1" applyBorder="1" applyAlignment="1">
      <alignment vertical="center"/>
    </xf>
    <xf numFmtId="0" fontId="8" fillId="4" borderId="10" xfId="0" applyFont="1" applyFill="1" applyBorder="1" applyAlignment="1">
      <alignment vertical="center"/>
    </xf>
    <xf numFmtId="0" fontId="8" fillId="4" borderId="20" xfId="0" applyFont="1" applyFill="1" applyBorder="1" applyAlignment="1">
      <alignment vertical="center"/>
    </xf>
    <xf numFmtId="0" fontId="8" fillId="4" borderId="16" xfId="0" applyFont="1" applyFill="1" applyBorder="1" applyAlignment="1">
      <alignment vertical="center"/>
    </xf>
    <xf numFmtId="0" fontId="8" fillId="4" borderId="17" xfId="0" applyFont="1" applyFill="1" applyBorder="1" applyAlignment="1">
      <alignment vertical="center"/>
    </xf>
    <xf numFmtId="0" fontId="8" fillId="4" borderId="42" xfId="0" applyFont="1" applyFill="1" applyBorder="1" applyAlignment="1">
      <alignment vertical="center"/>
    </xf>
    <xf numFmtId="165" fontId="10" fillId="2" borderId="23" xfId="1" applyNumberFormat="1" applyFont="1" applyFill="1" applyBorder="1"/>
    <xf numFmtId="0" fontId="10" fillId="2" borderId="0" xfId="0" applyFont="1" applyFill="1"/>
    <xf numFmtId="0" fontId="12" fillId="2" borderId="4" xfId="0" applyFont="1" applyFill="1" applyBorder="1" applyAlignment="1">
      <alignment horizontal="right"/>
    </xf>
    <xf numFmtId="168" fontId="2" fillId="2" borderId="0" xfId="0" applyNumberFormat="1" applyFont="1" applyFill="1" applyAlignment="1">
      <alignment vertical="center"/>
    </xf>
    <xf numFmtId="0" fontId="12" fillId="2" borderId="49" xfId="0" applyFont="1" applyFill="1" applyBorder="1"/>
    <xf numFmtId="0" fontId="13" fillId="2" borderId="48" xfId="0" applyFont="1" applyFill="1" applyBorder="1" applyAlignment="1">
      <alignment vertical="center"/>
    </xf>
    <xf numFmtId="0" fontId="14" fillId="2" borderId="48" xfId="0" applyFont="1" applyFill="1" applyBorder="1" applyAlignment="1">
      <alignment vertical="center"/>
    </xf>
    <xf numFmtId="0" fontId="12" fillId="2" borderId="48" xfId="0" applyFont="1" applyFill="1" applyBorder="1"/>
    <xf numFmtId="168" fontId="5" fillId="7" borderId="0" xfId="1" applyNumberFormat="1" applyFont="1" applyFill="1" applyBorder="1"/>
    <xf numFmtId="168" fontId="5" fillId="7" borderId="22" xfId="1" applyNumberFormat="1" applyFont="1" applyFill="1" applyBorder="1"/>
    <xf numFmtId="168" fontId="5" fillId="4" borderId="0" xfId="1" applyNumberFormat="1" applyFont="1" applyFill="1" applyBorder="1"/>
    <xf numFmtId="168" fontId="5" fillId="4" borderId="22" xfId="1" applyNumberFormat="1" applyFont="1" applyFill="1" applyBorder="1"/>
    <xf numFmtId="168" fontId="5" fillId="5" borderId="0" xfId="1" applyNumberFormat="1" applyFont="1" applyFill="1" applyBorder="1"/>
    <xf numFmtId="168" fontId="5" fillId="5" borderId="22" xfId="1" applyNumberFormat="1" applyFont="1" applyFill="1" applyBorder="1"/>
    <xf numFmtId="0" fontId="0" fillId="2" borderId="28" xfId="0" applyFill="1" applyBorder="1" applyAlignment="1">
      <alignment vertical="center" wrapText="1"/>
    </xf>
    <xf numFmtId="0" fontId="0" fillId="3" borderId="28" xfId="0" applyFill="1" applyBorder="1" applyAlignment="1">
      <alignment vertical="center" wrapText="1"/>
    </xf>
    <xf numFmtId="0" fontId="0" fillId="3" borderId="4" xfId="0" applyFill="1" applyBorder="1" applyAlignment="1">
      <alignment vertical="center"/>
    </xf>
    <xf numFmtId="0" fontId="0" fillId="2" borderId="28" xfId="0" applyFill="1" applyBorder="1" applyAlignment="1">
      <alignment vertical="center"/>
    </xf>
    <xf numFmtId="165" fontId="5" fillId="2" borderId="4" xfId="1" applyNumberFormat="1" applyFont="1" applyFill="1" applyBorder="1" applyAlignment="1">
      <alignment vertical="center"/>
    </xf>
    <xf numFmtId="165" fontId="5" fillId="2" borderId="0" xfId="1" applyNumberFormat="1" applyFont="1" applyFill="1" applyBorder="1" applyAlignment="1">
      <alignment vertical="center"/>
    </xf>
    <xf numFmtId="165" fontId="5" fillId="2" borderId="22" xfId="1" applyNumberFormat="1" applyFont="1" applyFill="1" applyBorder="1" applyAlignment="1">
      <alignment vertical="center"/>
    </xf>
    <xf numFmtId="0" fontId="0" fillId="3" borderId="28" xfId="0" applyFill="1" applyBorder="1" applyAlignment="1">
      <alignment vertical="center"/>
    </xf>
    <xf numFmtId="0" fontId="14" fillId="2" borderId="49" xfId="0" applyFont="1" applyFill="1" applyBorder="1" applyAlignment="1">
      <alignment wrapText="1"/>
    </xf>
    <xf numFmtId="0" fontId="0" fillId="2" borderId="4" xfId="0" applyFill="1" applyBorder="1" applyAlignment="1">
      <alignment vertical="center" wrapText="1"/>
    </xf>
    <xf numFmtId="0" fontId="14" fillId="2" borderId="51" xfId="0" applyFont="1" applyFill="1" applyBorder="1" applyAlignment="1">
      <alignment wrapText="1"/>
    </xf>
    <xf numFmtId="0" fontId="2" fillId="8" borderId="9" xfId="0" applyFont="1" applyFill="1" applyBorder="1" applyAlignment="1">
      <alignment vertical="center"/>
    </xf>
    <xf numFmtId="0" fontId="14" fillId="8" borderId="48" xfId="0" applyFont="1" applyFill="1" applyBorder="1" applyAlignment="1">
      <alignment vertical="center"/>
    </xf>
    <xf numFmtId="168" fontId="2" fillId="8" borderId="10" xfId="0" applyNumberFormat="1" applyFont="1" applyFill="1" applyBorder="1" applyAlignment="1">
      <alignment vertical="center"/>
    </xf>
    <xf numFmtId="168" fontId="2" fillId="8" borderId="47" xfId="0" applyNumberFormat="1" applyFont="1" applyFill="1" applyBorder="1" applyAlignment="1">
      <alignment vertical="center"/>
    </xf>
    <xf numFmtId="0" fontId="13" fillId="8" borderId="48" xfId="0" applyFont="1" applyFill="1" applyBorder="1" applyAlignment="1">
      <alignment vertical="center"/>
    </xf>
    <xf numFmtId="0" fontId="2" fillId="8" borderId="16" xfId="0" applyFont="1" applyFill="1" applyBorder="1" applyAlignment="1">
      <alignment vertical="center"/>
    </xf>
    <xf numFmtId="0" fontId="2" fillId="8" borderId="30" xfId="0" applyFont="1" applyFill="1" applyBorder="1" applyAlignment="1">
      <alignment vertical="center"/>
    </xf>
    <xf numFmtId="165" fontId="2" fillId="8" borderId="18" xfId="0" applyNumberFormat="1" applyFont="1" applyFill="1" applyBorder="1" applyAlignment="1">
      <alignment vertical="center"/>
    </xf>
    <xf numFmtId="165" fontId="2" fillId="8" borderId="17" xfId="0" applyNumberFormat="1" applyFont="1" applyFill="1" applyBorder="1" applyAlignment="1">
      <alignment vertical="center"/>
    </xf>
    <xf numFmtId="165" fontId="2" fillId="8" borderId="26" xfId="0" applyNumberFormat="1" applyFont="1" applyFill="1" applyBorder="1" applyAlignment="1">
      <alignment vertical="center"/>
    </xf>
    <xf numFmtId="0" fontId="2" fillId="8" borderId="19" xfId="0" applyFont="1" applyFill="1" applyBorder="1" applyAlignment="1">
      <alignment vertical="center"/>
    </xf>
    <xf numFmtId="0" fontId="12" fillId="2" borderId="52" xfId="0" applyFont="1" applyFill="1" applyBorder="1"/>
    <xf numFmtId="0" fontId="0" fillId="2" borderId="10" xfId="0" applyFill="1" applyBorder="1"/>
    <xf numFmtId="168" fontId="5" fillId="2" borderId="4" xfId="1" applyNumberFormat="1" applyFont="1" applyFill="1" applyBorder="1" applyAlignment="1">
      <alignment vertical="center"/>
    </xf>
    <xf numFmtId="168" fontId="5" fillId="2" borderId="0" xfId="1" applyNumberFormat="1" applyFont="1" applyFill="1" applyBorder="1" applyAlignment="1">
      <alignment vertical="center"/>
    </xf>
    <xf numFmtId="168" fontId="5" fillId="7" borderId="4" xfId="1" applyNumberFormat="1" applyFont="1" applyFill="1" applyBorder="1" applyAlignment="1">
      <alignment vertical="center"/>
    </xf>
    <xf numFmtId="168" fontId="5" fillId="7" borderId="0" xfId="1" applyNumberFormat="1" applyFont="1" applyFill="1" applyBorder="1" applyAlignment="1">
      <alignment vertical="center"/>
    </xf>
    <xf numFmtId="168" fontId="5" fillId="3" borderId="4" xfId="1" applyNumberFormat="1" applyFont="1" applyFill="1" applyBorder="1" applyAlignment="1">
      <alignment vertical="center"/>
    </xf>
    <xf numFmtId="168" fontId="5" fillId="3" borderId="0" xfId="1" applyNumberFormat="1" applyFont="1" applyFill="1" applyBorder="1" applyAlignment="1">
      <alignment vertical="center"/>
    </xf>
    <xf numFmtId="0" fontId="13" fillId="8" borderId="52" xfId="0" applyFont="1" applyFill="1" applyBorder="1" applyAlignment="1">
      <alignment vertical="center"/>
    </xf>
    <xf numFmtId="168" fontId="2" fillId="8" borderId="9" xfId="0" applyNumberFormat="1" applyFont="1" applyFill="1" applyBorder="1" applyAlignment="1">
      <alignment vertical="center"/>
    </xf>
    <xf numFmtId="0" fontId="2" fillId="2" borderId="10" xfId="0" applyFont="1" applyFill="1" applyBorder="1" applyAlignment="1">
      <alignment wrapText="1"/>
    </xf>
    <xf numFmtId="0" fontId="2" fillId="2" borderId="20" xfId="0" applyFont="1" applyFill="1" applyBorder="1" applyAlignment="1">
      <alignment wrapText="1"/>
    </xf>
    <xf numFmtId="0" fontId="4" fillId="2" borderId="28" xfId="0" applyFont="1" applyFill="1" applyBorder="1" applyAlignment="1">
      <alignment vertical="center" wrapText="1"/>
    </xf>
    <xf numFmtId="168" fontId="5" fillId="3" borderId="22" xfId="1" applyNumberFormat="1" applyFont="1" applyFill="1" applyBorder="1" applyAlignment="1">
      <alignment vertical="center"/>
    </xf>
    <xf numFmtId="168" fontId="5" fillId="2" borderId="22" xfId="1" applyNumberFormat="1" applyFont="1" applyFill="1" applyBorder="1" applyAlignment="1">
      <alignment vertical="center"/>
    </xf>
    <xf numFmtId="168" fontId="2" fillId="8" borderId="20" xfId="0" applyNumberFormat="1" applyFont="1" applyFill="1" applyBorder="1" applyAlignment="1">
      <alignment vertical="center"/>
    </xf>
    <xf numFmtId="0" fontId="14" fillId="2" borderId="48" xfId="0" applyFont="1" applyFill="1" applyBorder="1" applyAlignment="1">
      <alignment wrapText="1"/>
    </xf>
    <xf numFmtId="0" fontId="0" fillId="2" borderId="28" xfId="0" quotePrefix="1" applyFill="1" applyBorder="1" applyAlignment="1">
      <alignment vertical="center" wrapText="1"/>
    </xf>
    <xf numFmtId="165" fontId="5" fillId="4" borderId="0" xfId="1" applyNumberFormat="1" applyFont="1" applyFill="1" applyBorder="1" applyAlignment="1">
      <alignment vertical="center"/>
    </xf>
    <xf numFmtId="165" fontId="5" fillId="4" borderId="22" xfId="1" applyNumberFormat="1" applyFont="1" applyFill="1" applyBorder="1" applyAlignment="1">
      <alignment vertical="center"/>
    </xf>
    <xf numFmtId="0" fontId="0" fillId="3" borderId="4" xfId="0" applyFill="1" applyBorder="1" applyAlignment="1">
      <alignment vertical="center" wrapText="1"/>
    </xf>
    <xf numFmtId="0" fontId="0" fillId="4" borderId="28" xfId="0" quotePrefix="1" applyFill="1" applyBorder="1" applyAlignment="1">
      <alignment vertical="center" wrapText="1"/>
    </xf>
    <xf numFmtId="0" fontId="0" fillId="4" borderId="4" xfId="0" applyFill="1" applyBorder="1" applyAlignment="1">
      <alignment vertical="center"/>
    </xf>
    <xf numFmtId="9" fontId="12" fillId="4" borderId="50" xfId="0" applyNumberFormat="1" applyFont="1" applyFill="1" applyBorder="1" applyAlignment="1">
      <alignment vertical="center"/>
    </xf>
    <xf numFmtId="0" fontId="2" fillId="9" borderId="19" xfId="0" applyFont="1" applyFill="1" applyBorder="1" applyAlignment="1">
      <alignment vertical="center"/>
    </xf>
    <xf numFmtId="0" fontId="2" fillId="9" borderId="9" xfId="0" applyFont="1" applyFill="1" applyBorder="1" applyAlignment="1">
      <alignment vertical="center"/>
    </xf>
    <xf numFmtId="0" fontId="13" fillId="9" borderId="48" xfId="0" applyFont="1" applyFill="1" applyBorder="1" applyAlignment="1">
      <alignment vertical="center"/>
    </xf>
    <xf numFmtId="9" fontId="0" fillId="2" borderId="28" xfId="0" quotePrefix="1" applyNumberFormat="1" applyFill="1" applyBorder="1" applyAlignment="1">
      <alignment horizontal="left" vertical="center" wrapText="1"/>
    </xf>
    <xf numFmtId="10" fontId="12" fillId="5" borderId="50" xfId="0" applyNumberFormat="1" applyFont="1" applyFill="1" applyBorder="1" applyAlignment="1">
      <alignment vertical="center"/>
    </xf>
    <xf numFmtId="0" fontId="12" fillId="4" borderId="50" xfId="0" applyFont="1" applyFill="1" applyBorder="1" applyAlignment="1">
      <alignment vertical="center"/>
    </xf>
    <xf numFmtId="0" fontId="12" fillId="5" borderId="50" xfId="0" applyFont="1" applyFill="1" applyBorder="1" applyAlignment="1">
      <alignment vertical="center"/>
    </xf>
    <xf numFmtId="0" fontId="11" fillId="4" borderId="50" xfId="0" applyFont="1" applyFill="1" applyBorder="1" applyAlignment="1">
      <alignment vertical="center"/>
    </xf>
    <xf numFmtId="168" fontId="5" fillId="10" borderId="0" xfId="1" applyNumberFormat="1" applyFont="1" applyFill="1" applyBorder="1" applyAlignment="1">
      <alignment vertical="center"/>
    </xf>
    <xf numFmtId="15" fontId="0" fillId="2" borderId="4" xfId="0" applyNumberFormat="1" applyFill="1" applyBorder="1" applyAlignment="1">
      <alignment horizontal="left" vertical="center"/>
    </xf>
    <xf numFmtId="15" fontId="0" fillId="3" borderId="4" xfId="0" applyNumberFormat="1" applyFill="1" applyBorder="1" applyAlignment="1">
      <alignment horizontal="left" vertical="center"/>
    </xf>
    <xf numFmtId="15" fontId="0" fillId="2" borderId="6" xfId="0" applyNumberFormat="1" applyFill="1" applyBorder="1" applyAlignment="1">
      <alignment horizontal="left" vertical="center"/>
    </xf>
    <xf numFmtId="0" fontId="0" fillId="2" borderId="6" xfId="0" applyFill="1" applyBorder="1" applyAlignment="1">
      <alignment vertical="center"/>
    </xf>
    <xf numFmtId="2" fontId="2" fillId="2" borderId="28" xfId="0" applyNumberFormat="1" applyFont="1" applyFill="1" applyBorder="1" applyAlignment="1">
      <alignment horizontal="center" vertical="center"/>
    </xf>
    <xf numFmtId="2" fontId="2" fillId="3" borderId="28" xfId="0" applyNumberFormat="1" applyFont="1" applyFill="1" applyBorder="1" applyAlignment="1">
      <alignment horizontal="center" vertical="center"/>
    </xf>
    <xf numFmtId="2" fontId="2" fillId="2" borderId="31" xfId="0" applyNumberFormat="1" applyFont="1" applyFill="1" applyBorder="1" applyAlignment="1">
      <alignment horizontal="center" vertical="center"/>
    </xf>
    <xf numFmtId="169" fontId="2" fillId="2" borderId="28" xfId="0" applyNumberFormat="1" applyFont="1" applyFill="1" applyBorder="1" applyAlignment="1">
      <alignment horizontal="center" vertical="center"/>
    </xf>
    <xf numFmtId="169" fontId="2" fillId="3" borderId="28" xfId="0" applyNumberFormat="1" applyFont="1" applyFill="1" applyBorder="1" applyAlignment="1">
      <alignment horizontal="center" vertical="center"/>
    </xf>
    <xf numFmtId="169" fontId="2" fillId="2" borderId="31" xfId="0" applyNumberFormat="1" applyFont="1" applyFill="1" applyBorder="1" applyAlignment="1">
      <alignment horizontal="center" vertical="center"/>
    </xf>
    <xf numFmtId="0" fontId="0" fillId="2" borderId="9" xfId="0" applyFill="1" applyBorder="1" applyAlignment="1">
      <alignment vertical="center"/>
    </xf>
    <xf numFmtId="0" fontId="0" fillId="2" borderId="10" xfId="0" applyFill="1" applyBorder="1" applyAlignment="1">
      <alignment vertical="center"/>
    </xf>
    <xf numFmtId="0" fontId="2" fillId="2" borderId="9" xfId="0" applyFont="1" applyFill="1" applyBorder="1" applyAlignment="1">
      <alignment wrapText="1"/>
    </xf>
    <xf numFmtId="167" fontId="5" fillId="3" borderId="27" xfId="1" applyNumberFormat="1" applyFont="1" applyFill="1" applyBorder="1" applyAlignment="1">
      <alignment vertical="center"/>
    </xf>
    <xf numFmtId="167" fontId="5" fillId="2" borderId="4" xfId="1" applyNumberFormat="1" applyFont="1" applyFill="1" applyBorder="1" applyAlignment="1">
      <alignment vertical="center"/>
    </xf>
    <xf numFmtId="167" fontId="5" fillId="3" borderId="28" xfId="1" applyNumberFormat="1" applyFont="1" applyFill="1" applyBorder="1" applyAlignment="1">
      <alignment vertical="center"/>
    </xf>
    <xf numFmtId="0" fontId="0" fillId="2" borderId="11" xfId="0" applyFill="1" applyBorder="1" applyAlignment="1">
      <alignment vertical="center"/>
    </xf>
    <xf numFmtId="167" fontId="5" fillId="2" borderId="6" xfId="1" applyNumberFormat="1" applyFont="1" applyFill="1" applyBorder="1" applyAlignment="1">
      <alignment vertical="center"/>
    </xf>
    <xf numFmtId="167" fontId="5" fillId="2" borderId="0" xfId="1" applyNumberFormat="1" applyFont="1" applyFill="1" applyBorder="1" applyAlignment="1">
      <alignment vertical="center"/>
    </xf>
    <xf numFmtId="10" fontId="5" fillId="3" borderId="27" xfId="1" applyNumberFormat="1" applyFont="1" applyFill="1" applyBorder="1" applyAlignment="1">
      <alignment vertical="center"/>
    </xf>
    <xf numFmtId="0" fontId="6" fillId="2" borderId="10" xfId="0" applyFont="1" applyFill="1" applyBorder="1" applyAlignment="1">
      <alignment horizontal="right"/>
    </xf>
    <xf numFmtId="0" fontId="0" fillId="2" borderId="48" xfId="0" quotePrefix="1" applyFill="1" applyBorder="1" applyAlignment="1">
      <alignment vertical="center" wrapText="1"/>
    </xf>
    <xf numFmtId="167" fontId="2" fillId="3" borderId="27" xfId="1" applyNumberFormat="1" applyFont="1" applyFill="1" applyBorder="1" applyAlignment="1">
      <alignment vertical="center"/>
    </xf>
    <xf numFmtId="167" fontId="2" fillId="2" borderId="28" xfId="1" applyNumberFormat="1" applyFont="1" applyFill="1" applyBorder="1" applyAlignment="1">
      <alignment vertical="center"/>
    </xf>
    <xf numFmtId="167" fontId="2" fillId="3" borderId="28" xfId="1" applyNumberFormat="1" applyFont="1" applyFill="1" applyBorder="1" applyAlignment="1">
      <alignment vertical="center"/>
    </xf>
    <xf numFmtId="167" fontId="2" fillId="2" borderId="31" xfId="1" applyNumberFormat="1" applyFont="1" applyFill="1" applyBorder="1" applyAlignment="1">
      <alignment vertical="center"/>
    </xf>
    <xf numFmtId="0" fontId="0" fillId="3" borderId="1" xfId="0" applyFill="1" applyBorder="1" applyAlignment="1">
      <alignment vertical="center"/>
    </xf>
    <xf numFmtId="0" fontId="2" fillId="8" borderId="10" xfId="0" applyFont="1" applyFill="1" applyBorder="1" applyAlignment="1">
      <alignment vertical="center"/>
    </xf>
    <xf numFmtId="167" fontId="2" fillId="8" borderId="11" xfId="0" applyNumberFormat="1" applyFont="1" applyFill="1" applyBorder="1" applyAlignment="1">
      <alignment vertical="center"/>
    </xf>
    <xf numFmtId="168" fontId="5" fillId="7" borderId="22" xfId="1" applyNumberFormat="1" applyFont="1" applyFill="1" applyBorder="1" applyAlignment="1">
      <alignment vertical="center"/>
    </xf>
    <xf numFmtId="168" fontId="2" fillId="2" borderId="9" xfId="0" applyNumberFormat="1" applyFont="1" applyFill="1" applyBorder="1" applyAlignment="1">
      <alignment vertical="center"/>
    </xf>
    <xf numFmtId="168" fontId="2" fillId="2" borderId="20" xfId="0" applyNumberFormat="1" applyFont="1" applyFill="1" applyBorder="1" applyAlignment="1">
      <alignment vertical="center"/>
    </xf>
    <xf numFmtId="168" fontId="2" fillId="3" borderId="22" xfId="1" applyNumberFormat="1" applyFont="1" applyFill="1" applyBorder="1" applyAlignment="1">
      <alignment vertical="center"/>
    </xf>
    <xf numFmtId="168" fontId="2" fillId="2" borderId="22" xfId="1" applyNumberFormat="1" applyFont="1" applyFill="1" applyBorder="1" applyAlignment="1">
      <alignment vertical="center"/>
    </xf>
    <xf numFmtId="168" fontId="2" fillId="3" borderId="22" xfId="1" applyNumberFormat="1" applyFont="1" applyFill="1" applyBorder="1"/>
    <xf numFmtId="168" fontId="2" fillId="2" borderId="22" xfId="1" applyNumberFormat="1" applyFont="1" applyFill="1" applyBorder="1"/>
    <xf numFmtId="168" fontId="2" fillId="7" borderId="22" xfId="1" applyNumberFormat="1" applyFont="1" applyFill="1" applyBorder="1"/>
    <xf numFmtId="168" fontId="15" fillId="2" borderId="22" xfId="1" applyNumberFormat="1" applyFont="1" applyFill="1" applyBorder="1"/>
    <xf numFmtId="0" fontId="2" fillId="2" borderId="19" xfId="0" applyFont="1" applyFill="1" applyBorder="1" applyAlignment="1">
      <alignment horizontal="center" vertical="center" wrapText="1"/>
    </xf>
    <xf numFmtId="0" fontId="0" fillId="2" borderId="11" xfId="0" applyFill="1" applyBorder="1"/>
    <xf numFmtId="168" fontId="5" fillId="3" borderId="5" xfId="1" applyNumberFormat="1" applyFont="1" applyFill="1" applyBorder="1" applyAlignment="1">
      <alignment vertical="center"/>
    </xf>
    <xf numFmtId="171" fontId="0" fillId="3" borderId="7" xfId="0" applyNumberFormat="1" applyFill="1" applyBorder="1"/>
    <xf numFmtId="171" fontId="0" fillId="3" borderId="8" xfId="0" applyNumberFormat="1" applyFill="1" applyBorder="1"/>
    <xf numFmtId="170" fontId="0" fillId="2" borderId="1" xfId="0" applyNumberFormat="1" applyFill="1" applyBorder="1"/>
    <xf numFmtId="171" fontId="0" fillId="3" borderId="6" xfId="0" applyNumberFormat="1" applyFill="1" applyBorder="1"/>
    <xf numFmtId="10" fontId="0" fillId="2" borderId="2" xfId="0" applyNumberFormat="1" applyFill="1" applyBorder="1"/>
    <xf numFmtId="10" fontId="0" fillId="2" borderId="3" xfId="0" applyNumberFormat="1" applyFill="1" applyBorder="1"/>
    <xf numFmtId="0" fontId="2" fillId="4" borderId="1" xfId="0" applyFont="1" applyFill="1" applyBorder="1" applyAlignment="1">
      <alignment wrapText="1"/>
    </xf>
    <xf numFmtId="0" fontId="0" fillId="4" borderId="9" xfId="0" applyFill="1" applyBorder="1"/>
    <xf numFmtId="168" fontId="5" fillId="5" borderId="4" xfId="1" applyNumberFormat="1" applyFont="1" applyFill="1" applyBorder="1" applyAlignment="1">
      <alignment vertical="center"/>
    </xf>
    <xf numFmtId="0" fontId="0" fillId="2" borderId="1" xfId="0" applyFill="1" applyBorder="1" applyAlignment="1">
      <alignment vertical="center"/>
    </xf>
    <xf numFmtId="0" fontId="0" fillId="2" borderId="1" xfId="0" applyFill="1" applyBorder="1" applyAlignment="1">
      <alignment horizontal="center" vertical="center"/>
    </xf>
    <xf numFmtId="168" fontId="5" fillId="4" borderId="1" xfId="1" applyNumberFormat="1" applyFont="1" applyFill="1" applyBorder="1" applyAlignment="1">
      <alignment vertical="center"/>
    </xf>
    <xf numFmtId="168" fontId="5" fillId="2" borderId="1" xfId="1" applyNumberFormat="1" applyFont="1" applyFill="1" applyBorder="1" applyAlignment="1">
      <alignment vertical="center"/>
    </xf>
    <xf numFmtId="168" fontId="5" fillId="2" borderId="2" xfId="1" applyNumberFormat="1" applyFont="1" applyFill="1" applyBorder="1" applyAlignment="1">
      <alignment vertical="center"/>
    </xf>
    <xf numFmtId="168" fontId="5" fillId="2" borderId="3" xfId="1" applyNumberFormat="1" applyFont="1" applyFill="1" applyBorder="1" applyAlignment="1">
      <alignment vertical="center"/>
    </xf>
    <xf numFmtId="168" fontId="5" fillId="4" borderId="6" xfId="1" applyNumberFormat="1" applyFont="1" applyFill="1" applyBorder="1" applyAlignment="1">
      <alignment vertical="center"/>
    </xf>
    <xf numFmtId="168" fontId="5" fillId="2" borderId="6" xfId="1" applyNumberFormat="1" applyFont="1" applyFill="1" applyBorder="1" applyAlignment="1">
      <alignment vertical="center"/>
    </xf>
    <xf numFmtId="168" fontId="5" fillId="2" borderId="7" xfId="1" applyNumberFormat="1" applyFont="1" applyFill="1" applyBorder="1" applyAlignment="1">
      <alignment vertical="center"/>
    </xf>
    <xf numFmtId="168" fontId="5" fillId="2" borderId="8" xfId="1" applyNumberFormat="1" applyFont="1" applyFill="1" applyBorder="1" applyAlignment="1">
      <alignment vertical="center"/>
    </xf>
    <xf numFmtId="0" fontId="2" fillId="2" borderId="1" xfId="0" applyFont="1" applyFill="1" applyBorder="1"/>
    <xf numFmtId="172" fontId="0" fillId="2" borderId="0" xfId="0" applyNumberFormat="1" applyFill="1"/>
    <xf numFmtId="0" fontId="0" fillId="2" borderId="19" xfId="0" applyFill="1" applyBorder="1" applyAlignment="1">
      <alignment vertical="center" wrapText="1"/>
    </xf>
    <xf numFmtId="0" fontId="0" fillId="2" borderId="0" xfId="0" applyFill="1" applyAlignment="1">
      <alignment vertical="center" wrapText="1"/>
    </xf>
    <xf numFmtId="0" fontId="12" fillId="2" borderId="5" xfId="0" applyFont="1" applyFill="1" applyBorder="1" applyAlignment="1">
      <alignment horizontal="right" vertical="center"/>
    </xf>
    <xf numFmtId="168" fontId="2" fillId="8" borderId="9" xfId="1" applyNumberFormat="1" applyFont="1" applyFill="1" applyBorder="1" applyAlignment="1">
      <alignment vertical="center"/>
    </xf>
    <xf numFmtId="168" fontId="2" fillId="8" borderId="10" xfId="1" applyNumberFormat="1" applyFont="1" applyFill="1" applyBorder="1" applyAlignment="1">
      <alignment vertical="center"/>
    </xf>
    <xf numFmtId="168" fontId="2" fillId="8" borderId="11" xfId="1" applyNumberFormat="1" applyFont="1" applyFill="1" applyBorder="1" applyAlignment="1">
      <alignment vertical="center"/>
    </xf>
    <xf numFmtId="0" fontId="0" fillId="2" borderId="4" xfId="0" applyFill="1" applyBorder="1" applyAlignment="1">
      <alignment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2" borderId="27" xfId="0" applyFont="1" applyFill="1" applyBorder="1" applyAlignment="1">
      <alignment horizontal="center"/>
    </xf>
    <xf numFmtId="0" fontId="4" fillId="6" borderId="31" xfId="0" applyFont="1" applyFill="1" applyBorder="1" applyAlignment="1">
      <alignment horizontal="center"/>
    </xf>
    <xf numFmtId="0" fontId="4" fillId="6" borderId="28" xfId="0" applyFont="1" applyFill="1" applyBorder="1" applyAlignment="1">
      <alignment horizontal="center" vertical="center"/>
    </xf>
    <xf numFmtId="0" fontId="4" fillId="2" borderId="6" xfId="0" applyFont="1" applyFill="1" applyBorder="1" applyAlignment="1">
      <alignment horizontal="center" vertical="center"/>
    </xf>
    <xf numFmtId="0" fontId="12" fillId="2" borderId="4" xfId="0" applyFont="1" applyFill="1" applyBorder="1" applyAlignment="1">
      <alignment horizontal="right" vertical="center"/>
    </xf>
    <xf numFmtId="0" fontId="4" fillId="2" borderId="27"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3" borderId="28" xfId="0" applyFont="1" applyFill="1" applyBorder="1" applyAlignment="1">
      <alignment horizontal="center" vertical="center"/>
    </xf>
    <xf numFmtId="0" fontId="4" fillId="2" borderId="4" xfId="0" applyFont="1" applyFill="1" applyBorder="1" applyAlignment="1">
      <alignment horizontal="center" vertical="center"/>
    </xf>
    <xf numFmtId="168" fontId="18" fillId="2" borderId="0" xfId="1" applyNumberFormat="1" applyFont="1" applyFill="1" applyBorder="1"/>
    <xf numFmtId="168" fontId="18" fillId="3" borderId="0" xfId="1" applyNumberFormat="1" applyFont="1" applyFill="1" applyBorder="1"/>
    <xf numFmtId="168" fontId="19" fillId="2" borderId="10" xfId="0" applyNumberFormat="1" applyFont="1" applyFill="1" applyBorder="1" applyAlignment="1">
      <alignment vertical="center"/>
    </xf>
    <xf numFmtId="165" fontId="18" fillId="3" borderId="4" xfId="1" applyNumberFormat="1" applyFont="1" applyFill="1" applyBorder="1"/>
    <xf numFmtId="165" fontId="18" fillId="3" borderId="0" xfId="1" applyNumberFormat="1" applyFont="1" applyFill="1" applyBorder="1"/>
    <xf numFmtId="165" fontId="18" fillId="2" borderId="4" xfId="1" applyNumberFormat="1" applyFont="1" applyFill="1" applyBorder="1"/>
    <xf numFmtId="165" fontId="18" fillId="2" borderId="0" xfId="1" applyNumberFormat="1" applyFont="1" applyFill="1" applyBorder="1"/>
    <xf numFmtId="165" fontId="18" fillId="6" borderId="6" xfId="1" applyNumberFormat="1" applyFont="1" applyFill="1" applyBorder="1"/>
    <xf numFmtId="165" fontId="18" fillId="6" borderId="7" xfId="1" applyNumberFormat="1" applyFont="1" applyFill="1" applyBorder="1"/>
    <xf numFmtId="165" fontId="18" fillId="2" borderId="2" xfId="1" applyNumberFormat="1" applyFont="1" applyFill="1" applyBorder="1"/>
    <xf numFmtId="168" fontId="18" fillId="2" borderId="4" xfId="1" applyNumberFormat="1" applyFont="1" applyFill="1" applyBorder="1" applyAlignment="1">
      <alignment vertical="center"/>
    </xf>
    <xf numFmtId="168" fontId="18" fillId="2" borderId="0" xfId="1" applyNumberFormat="1" applyFont="1" applyFill="1" applyBorder="1" applyAlignment="1">
      <alignment vertical="center"/>
    </xf>
    <xf numFmtId="168" fontId="18" fillId="3" borderId="4" xfId="1" applyNumberFormat="1" applyFont="1" applyFill="1" applyBorder="1" applyAlignment="1">
      <alignment vertical="center"/>
    </xf>
    <xf numFmtId="168" fontId="18" fillId="3" borderId="0" xfId="1" applyNumberFormat="1" applyFont="1" applyFill="1" applyBorder="1" applyAlignment="1">
      <alignment vertical="center"/>
    </xf>
    <xf numFmtId="10" fontId="18" fillId="2" borderId="2" xfId="0" applyNumberFormat="1" applyFont="1" applyFill="1" applyBorder="1"/>
    <xf numFmtId="0" fontId="16" fillId="3" borderId="0" xfId="3" applyFill="1" applyBorder="1"/>
    <xf numFmtId="0" fontId="21" fillId="2" borderId="1" xfId="3" applyFont="1" applyFill="1" applyBorder="1"/>
    <xf numFmtId="0" fontId="16" fillId="2" borderId="0" xfId="3" applyFill="1" applyBorder="1"/>
    <xf numFmtId="0" fontId="2" fillId="8" borderId="6" xfId="0" applyFont="1" applyFill="1" applyBorder="1" applyAlignment="1">
      <alignment vertical="center"/>
    </xf>
    <xf numFmtId="0" fontId="12" fillId="4" borderId="19" xfId="0" applyFont="1" applyFill="1" applyBorder="1"/>
    <xf numFmtId="0" fontId="14" fillId="9" borderId="31" xfId="0" applyFont="1" applyFill="1" applyBorder="1" applyAlignment="1">
      <alignment vertical="center"/>
    </xf>
    <xf numFmtId="168" fontId="0" fillId="8" borderId="7" xfId="0" applyNumberFormat="1" applyFill="1" applyBorder="1" applyAlignment="1">
      <alignment vertical="center"/>
    </xf>
    <xf numFmtId="168" fontId="2" fillId="8" borderId="23" xfId="0" applyNumberFormat="1" applyFont="1" applyFill="1" applyBorder="1" applyAlignment="1">
      <alignment vertical="center"/>
    </xf>
    <xf numFmtId="0" fontId="12" fillId="2" borderId="28" xfId="0" applyFont="1" applyFill="1" applyBorder="1" applyAlignment="1">
      <alignment horizontal="right" vertical="center"/>
    </xf>
    <xf numFmtId="0" fontId="16" fillId="3" borderId="7" xfId="3" applyFill="1" applyBorder="1"/>
    <xf numFmtId="0" fontId="2" fillId="2" borderId="10" xfId="0" applyFont="1" applyFill="1" applyBorder="1" applyAlignment="1">
      <alignment vertical="center" wrapText="1"/>
    </xf>
    <xf numFmtId="0" fontId="16" fillId="0" borderId="0" xfId="3" applyBorder="1"/>
    <xf numFmtId="0" fontId="0" fillId="2" borderId="7" xfId="0" applyFill="1" applyBorder="1" applyAlignment="1">
      <alignment vertical="center"/>
    </xf>
    <xf numFmtId="167" fontId="5" fillId="2" borderId="7" xfId="1" applyNumberFormat="1" applyFont="1" applyFill="1" applyBorder="1" applyAlignment="1">
      <alignment vertical="center"/>
    </xf>
    <xf numFmtId="168" fontId="5" fillId="2" borderId="5" xfId="1" applyNumberFormat="1" applyFont="1" applyFill="1" applyBorder="1" applyAlignment="1">
      <alignment vertical="center"/>
    </xf>
    <xf numFmtId="0" fontId="16" fillId="0" borderId="7" xfId="3" applyBorder="1"/>
    <xf numFmtId="0" fontId="22" fillId="2" borderId="0" xfId="0" applyFont="1" applyFill="1"/>
    <xf numFmtId="0" fontId="11" fillId="4" borderId="54" xfId="0" applyFont="1" applyFill="1" applyBorder="1" applyAlignment="1">
      <alignment vertical="center"/>
    </xf>
    <xf numFmtId="168" fontId="18" fillId="2" borderId="55" xfId="1" applyNumberFormat="1" applyFont="1" applyFill="1" applyBorder="1" applyAlignment="1">
      <alignment vertical="center"/>
    </xf>
    <xf numFmtId="168" fontId="18" fillId="2" borderId="7" xfId="1" applyNumberFormat="1" applyFont="1" applyFill="1" applyBorder="1" applyAlignment="1">
      <alignment vertical="center"/>
    </xf>
    <xf numFmtId="168" fontId="2" fillId="2" borderId="23" xfId="1" applyNumberFormat="1" applyFont="1" applyFill="1" applyBorder="1" applyAlignment="1">
      <alignment vertical="center"/>
    </xf>
    <xf numFmtId="0" fontId="4" fillId="2" borderId="7" xfId="0" applyFont="1" applyFill="1" applyBorder="1" applyAlignment="1">
      <alignment horizontal="right"/>
    </xf>
    <xf numFmtId="168" fontId="20" fillId="3" borderId="0" xfId="1" applyNumberFormat="1" applyFont="1" applyFill="1" applyBorder="1" applyAlignment="1">
      <alignment vertical="center"/>
    </xf>
    <xf numFmtId="0" fontId="4" fillId="2" borderId="0" xfId="0" applyFont="1" applyFill="1" applyAlignment="1">
      <alignment vertical="top"/>
    </xf>
    <xf numFmtId="0" fontId="12" fillId="5" borderId="54" xfId="0" applyFont="1" applyFill="1" applyBorder="1" applyAlignment="1">
      <alignment vertical="center"/>
    </xf>
    <xf numFmtId="0" fontId="16" fillId="2" borderId="7" xfId="3" applyFill="1" applyBorder="1"/>
    <xf numFmtId="0" fontId="2" fillId="0" borderId="28" xfId="0" applyFont="1" applyBorder="1" applyAlignment="1">
      <alignment vertical="center" wrapText="1"/>
    </xf>
    <xf numFmtId="0" fontId="0" fillId="2" borderId="27" xfId="0" applyFill="1" applyBorder="1" applyAlignment="1">
      <alignment vertical="center" wrapText="1"/>
    </xf>
    <xf numFmtId="0" fontId="0" fillId="2" borderId="4" xfId="0" applyFill="1" applyBorder="1" applyAlignment="1">
      <alignment horizontal="right"/>
    </xf>
    <xf numFmtId="173" fontId="23" fillId="2" borderId="0" xfId="0" applyNumberFormat="1" applyFont="1" applyFill="1" applyAlignment="1">
      <alignment horizontal="left"/>
    </xf>
    <xf numFmtId="0" fontId="0" fillId="3" borderId="1" xfId="0" applyFill="1" applyBorder="1"/>
    <xf numFmtId="0" fontId="16" fillId="3" borderId="2" xfId="3" applyFill="1" applyBorder="1"/>
    <xf numFmtId="0" fontId="0" fillId="3" borderId="3" xfId="0" applyFill="1" applyBorder="1"/>
    <xf numFmtId="0" fontId="24" fillId="2" borderId="1" xfId="0" applyFont="1" applyFill="1" applyBorder="1"/>
    <xf numFmtId="0" fontId="0" fillId="3" borderId="5" xfId="0" applyFill="1" applyBorder="1" applyAlignment="1">
      <alignment wrapText="1"/>
    </xf>
    <xf numFmtId="0" fontId="2" fillId="0" borderId="10" xfId="0" applyFont="1" applyBorder="1"/>
    <xf numFmtId="0" fontId="2" fillId="2" borderId="11" xfId="0" applyFont="1" applyFill="1" applyBorder="1" applyAlignment="1">
      <alignment vertical="center" wrapText="1"/>
    </xf>
    <xf numFmtId="0" fontId="2" fillId="2" borderId="19" xfId="0" applyFont="1" applyFill="1" applyBorder="1" applyAlignment="1">
      <alignment vertical="center" wrapText="1"/>
    </xf>
    <xf numFmtId="0" fontId="2" fillId="2" borderId="1" xfId="0" applyFont="1" applyFill="1" applyBorder="1" applyAlignment="1">
      <alignment horizontal="center"/>
    </xf>
    <xf numFmtId="0" fontId="4" fillId="6" borderId="4" xfId="0" applyFont="1" applyFill="1" applyBorder="1" applyAlignment="1">
      <alignment horizontal="center"/>
    </xf>
    <xf numFmtId="0" fontId="4" fillId="2" borderId="4" xfId="0" applyFont="1" applyFill="1" applyBorder="1" applyAlignment="1">
      <alignment horizontal="center"/>
    </xf>
    <xf numFmtId="0" fontId="4" fillId="2" borderId="6" xfId="0" applyFont="1" applyFill="1" applyBorder="1" applyAlignment="1">
      <alignment horizontal="center"/>
    </xf>
    <xf numFmtId="165" fontId="23" fillId="2" borderId="1" xfId="1" applyNumberFormat="1" applyFont="1" applyFill="1" applyBorder="1" applyAlignment="1">
      <alignment vertical="center"/>
    </xf>
    <xf numFmtId="165" fontId="23" fillId="3" borderId="4" xfId="1" applyNumberFormat="1" applyFont="1" applyFill="1" applyBorder="1" applyAlignment="1">
      <alignment vertical="center"/>
    </xf>
    <xf numFmtId="165" fontId="23" fillId="2" borderId="4" xfId="1" applyNumberFormat="1" applyFont="1" applyFill="1" applyBorder="1" applyAlignment="1">
      <alignment vertical="center"/>
    </xf>
    <xf numFmtId="165" fontId="23" fillId="2" borderId="6" xfId="1" applyNumberFormat="1" applyFont="1" applyFill="1" applyBorder="1" applyAlignment="1">
      <alignment vertical="center"/>
    </xf>
    <xf numFmtId="0" fontId="4" fillId="2" borderId="6"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7" borderId="28" xfId="0" applyFont="1" applyFill="1" applyBorder="1" applyAlignment="1">
      <alignment horizontal="center" vertical="center"/>
    </xf>
    <xf numFmtId="0" fontId="4" fillId="4" borderId="4"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3" borderId="4"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1" xfId="0" applyFill="1" applyBorder="1" applyAlignment="1">
      <alignment horizontal="center"/>
    </xf>
    <xf numFmtId="0" fontId="0" fillId="3" borderId="4" xfId="0" applyFill="1" applyBorder="1" applyAlignment="1">
      <alignment horizontal="center"/>
    </xf>
    <xf numFmtId="0" fontId="0" fillId="2" borderId="4" xfId="0" applyFill="1" applyBorder="1" applyAlignment="1">
      <alignment horizontal="center"/>
    </xf>
    <xf numFmtId="0" fontId="0" fillId="2" borderId="6" xfId="0" applyFill="1" applyBorder="1" applyAlignment="1">
      <alignment horizontal="center"/>
    </xf>
    <xf numFmtId="0" fontId="2" fillId="2" borderId="4" xfId="0" applyFont="1" applyFill="1" applyBorder="1" applyAlignment="1">
      <alignment horizontal="center"/>
    </xf>
    <xf numFmtId="0" fontId="25" fillId="2" borderId="4" xfId="0" applyFont="1" applyFill="1" applyBorder="1" applyAlignment="1">
      <alignment horizontal="center" vertical="center" wrapText="1"/>
    </xf>
    <xf numFmtId="168" fontId="2" fillId="2" borderId="0" xfId="1" applyNumberFormat="1" applyFont="1" applyFill="1" applyBorder="1" applyAlignment="1">
      <alignment vertical="center"/>
    </xf>
    <xf numFmtId="168" fontId="2" fillId="2" borderId="5" xfId="1" applyNumberFormat="1" applyFont="1" applyFill="1" applyBorder="1" applyAlignment="1">
      <alignment vertical="center"/>
    </xf>
    <xf numFmtId="0" fontId="2" fillId="0" borderId="19" xfId="0" applyFont="1" applyBorder="1" applyAlignment="1">
      <alignment vertical="center" wrapText="1"/>
    </xf>
    <xf numFmtId="0" fontId="2" fillId="2" borderId="9" xfId="0" applyFont="1" applyFill="1" applyBorder="1" applyAlignment="1">
      <alignment horizontal="center"/>
    </xf>
    <xf numFmtId="0" fontId="25" fillId="2" borderId="9" xfId="0" applyFont="1" applyFill="1" applyBorder="1" applyAlignment="1">
      <alignment horizontal="center" vertical="center" wrapText="1"/>
    </xf>
    <xf numFmtId="168" fontId="2" fillId="2" borderId="10" xfId="1" applyNumberFormat="1" applyFont="1" applyFill="1" applyBorder="1" applyAlignment="1">
      <alignment vertical="center"/>
    </xf>
    <xf numFmtId="168" fontId="2" fillId="2" borderId="11" xfId="1" applyNumberFormat="1" applyFont="1" applyFill="1" applyBorder="1" applyAlignment="1">
      <alignment vertical="center"/>
    </xf>
    <xf numFmtId="0" fontId="2" fillId="11" borderId="19" xfId="0" applyFont="1" applyFill="1" applyBorder="1" applyAlignment="1">
      <alignment vertical="center" wrapText="1"/>
    </xf>
    <xf numFmtId="0" fontId="2" fillId="11" borderId="9" xfId="0" applyFont="1" applyFill="1" applyBorder="1" applyAlignment="1">
      <alignment horizontal="center"/>
    </xf>
    <xf numFmtId="0" fontId="25" fillId="11" borderId="9" xfId="0" applyFont="1" applyFill="1" applyBorder="1" applyAlignment="1">
      <alignment horizontal="center" vertical="center" wrapText="1"/>
    </xf>
    <xf numFmtId="168" fontId="2" fillId="11" borderId="9" xfId="0" applyNumberFormat="1" applyFont="1" applyFill="1" applyBorder="1" applyAlignment="1">
      <alignment vertical="center"/>
    </xf>
    <xf numFmtId="168" fontId="2" fillId="11" borderId="10" xfId="1" applyNumberFormat="1" applyFont="1" applyFill="1" applyBorder="1" applyAlignment="1">
      <alignment vertical="center"/>
    </xf>
    <xf numFmtId="168" fontId="2" fillId="11" borderId="11" xfId="1" applyNumberFormat="1" applyFont="1" applyFill="1" applyBorder="1" applyAlignment="1">
      <alignment vertical="center"/>
    </xf>
    <xf numFmtId="0" fontId="2" fillId="2" borderId="10" xfId="0" applyFont="1" applyFill="1" applyBorder="1"/>
    <xf numFmtId="0" fontId="0" fillId="3" borderId="0" xfId="0" applyFill="1" applyAlignment="1">
      <alignment vertical="center" wrapText="1"/>
    </xf>
    <xf numFmtId="0" fontId="0" fillId="3" borderId="31" xfId="0" applyFill="1" applyBorder="1" applyAlignment="1">
      <alignment vertical="center"/>
    </xf>
    <xf numFmtId="0" fontId="0" fillId="3" borderId="8" xfId="0" applyFill="1" applyBorder="1" applyAlignment="1">
      <alignment vertical="center"/>
    </xf>
    <xf numFmtId="0" fontId="0" fillId="2" borderId="28" xfId="0" applyFill="1" applyBorder="1" applyAlignment="1">
      <alignment horizontal="center" vertical="center"/>
    </xf>
    <xf numFmtId="0" fontId="0" fillId="3" borderId="28" xfId="0" applyFill="1" applyBorder="1" applyAlignment="1">
      <alignment horizontal="center" vertical="center"/>
    </xf>
    <xf numFmtId="0" fontId="2" fillId="2" borderId="19" xfId="0" applyFont="1" applyFill="1" applyBorder="1" applyAlignment="1">
      <alignment horizontal="center" vertical="center"/>
    </xf>
    <xf numFmtId="0" fontId="2" fillId="8" borderId="19" xfId="0" applyFont="1" applyFill="1" applyBorder="1" applyAlignment="1">
      <alignment horizontal="center" vertical="center"/>
    </xf>
    <xf numFmtId="0" fontId="2" fillId="2" borderId="9" xfId="0" applyFont="1" applyFill="1" applyBorder="1" applyAlignment="1">
      <alignment vertical="top" wrapText="1"/>
    </xf>
    <xf numFmtId="0" fontId="2" fillId="2" borderId="19" xfId="0" applyFont="1" applyFill="1" applyBorder="1" applyAlignment="1">
      <alignment vertical="top" wrapText="1"/>
    </xf>
    <xf numFmtId="169" fontId="18" fillId="2" borderId="28" xfId="0" applyNumberFormat="1" applyFont="1" applyFill="1" applyBorder="1" applyAlignment="1">
      <alignment horizontal="center" vertical="center" wrapText="1"/>
    </xf>
    <xf numFmtId="0" fontId="18" fillId="4" borderId="4" xfId="0" applyFont="1" applyFill="1" applyBorder="1" applyAlignment="1">
      <alignment horizontal="center" vertical="center"/>
    </xf>
    <xf numFmtId="169" fontId="18" fillId="3" borderId="28" xfId="0" applyNumberFormat="1" applyFont="1" applyFill="1" applyBorder="1" applyAlignment="1">
      <alignment horizontal="center" vertical="center" wrapText="1"/>
    </xf>
    <xf numFmtId="0" fontId="18" fillId="7" borderId="4" xfId="0" applyFont="1" applyFill="1" applyBorder="1" applyAlignment="1">
      <alignment horizontal="center" vertical="center"/>
    </xf>
    <xf numFmtId="169" fontId="18" fillId="2" borderId="31"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3" borderId="5" xfId="0" applyFill="1" applyBorder="1" applyAlignment="1">
      <alignment vertical="center" wrapText="1"/>
    </xf>
    <xf numFmtId="0" fontId="32" fillId="2" borderId="0" xfId="3" applyFont="1" applyFill="1" applyBorder="1" applyAlignment="1">
      <alignment vertical="center"/>
    </xf>
    <xf numFmtId="0" fontId="0" fillId="0" borderId="0" xfId="0" applyAlignment="1">
      <alignment vertical="center" wrapText="1"/>
    </xf>
    <xf numFmtId="0" fontId="14" fillId="2" borderId="0" xfId="0" applyFont="1" applyFill="1" applyAlignment="1">
      <alignment vertical="center"/>
    </xf>
    <xf numFmtId="0" fontId="4" fillId="2" borderId="0" xfId="0" applyFont="1" applyFill="1" applyAlignment="1">
      <alignment horizontal="right"/>
    </xf>
    <xf numFmtId="0" fontId="4" fillId="3" borderId="28" xfId="0" applyFont="1" applyFill="1" applyBorder="1" applyAlignment="1">
      <alignment vertical="center" wrapText="1"/>
    </xf>
    <xf numFmtId="0" fontId="2" fillId="12" borderId="19" xfId="0" applyFont="1" applyFill="1" applyBorder="1" applyAlignment="1">
      <alignment horizontal="center" vertical="center" wrapText="1"/>
    </xf>
    <xf numFmtId="0" fontId="0" fillId="2" borderId="10" xfId="0" quotePrefix="1" applyFill="1" applyBorder="1" applyAlignment="1">
      <alignment vertical="center" wrapText="1"/>
    </xf>
    <xf numFmtId="0" fontId="0" fillId="2" borderId="47" xfId="0" quotePrefix="1" applyFill="1" applyBorder="1" applyAlignment="1">
      <alignment vertical="center" wrapText="1"/>
    </xf>
    <xf numFmtId="0" fontId="0" fillId="0" borderId="5" xfId="0" applyBorder="1"/>
    <xf numFmtId="0" fontId="0" fillId="3" borderId="9" xfId="0" applyFill="1" applyBorder="1" applyAlignment="1">
      <alignment vertical="center"/>
    </xf>
    <xf numFmtId="10" fontId="5" fillId="3" borderId="19" xfId="1" applyNumberFormat="1" applyFont="1" applyFill="1" applyBorder="1" applyAlignment="1">
      <alignment vertical="center"/>
    </xf>
    <xf numFmtId="10" fontId="20" fillId="3" borderId="19" xfId="1" applyNumberFormat="1" applyFont="1" applyFill="1" applyBorder="1" applyAlignment="1">
      <alignment vertical="center"/>
    </xf>
    <xf numFmtId="0" fontId="0" fillId="0" borderId="9" xfId="0" applyBorder="1" applyAlignment="1">
      <alignment vertical="center"/>
    </xf>
    <xf numFmtId="10" fontId="5" fillId="0" borderId="19" xfId="1" applyNumberFormat="1" applyFont="1" applyFill="1" applyBorder="1" applyAlignment="1">
      <alignment vertical="center"/>
    </xf>
    <xf numFmtId="10" fontId="20" fillId="0" borderId="19" xfId="1" applyNumberFormat="1" applyFont="1" applyFill="1" applyBorder="1" applyAlignment="1">
      <alignment vertical="center"/>
    </xf>
    <xf numFmtId="0" fontId="0" fillId="3" borderId="4" xfId="0" applyFill="1" applyBorder="1" applyAlignment="1">
      <alignment horizontal="left" vertical="center"/>
    </xf>
    <xf numFmtId="166" fontId="5" fillId="0" borderId="5" xfId="1" applyNumberFormat="1" applyFont="1" applyFill="1" applyBorder="1"/>
    <xf numFmtId="165" fontId="5" fillId="0" borderId="4" xfId="1" applyNumberFormat="1" applyFont="1" applyFill="1" applyBorder="1"/>
    <xf numFmtId="165" fontId="5" fillId="0" borderId="0" xfId="1" applyNumberFormat="1" applyFont="1" applyFill="1" applyBorder="1"/>
    <xf numFmtId="165" fontId="2" fillId="0" borderId="9" xfId="0" applyNumberFormat="1" applyFont="1" applyBorder="1" applyAlignment="1">
      <alignment vertical="center"/>
    </xf>
    <xf numFmtId="165" fontId="2" fillId="0" borderId="10" xfId="0" applyNumberFormat="1" applyFont="1" applyBorder="1" applyAlignment="1">
      <alignment vertical="center"/>
    </xf>
    <xf numFmtId="165" fontId="2" fillId="0" borderId="20" xfId="0" applyNumberFormat="1" applyFont="1" applyBorder="1" applyAlignment="1">
      <alignment vertical="center"/>
    </xf>
    <xf numFmtId="10" fontId="23" fillId="0" borderId="27" xfId="2" applyNumberFormat="1" applyFont="1" applyBorder="1"/>
    <xf numFmtId="0" fontId="2" fillId="4" borderId="11" xfId="0" applyFont="1" applyFill="1" applyBorder="1" applyAlignment="1">
      <alignment vertical="center"/>
    </xf>
    <xf numFmtId="0" fontId="2" fillId="4" borderId="29" xfId="0" applyFont="1" applyFill="1" applyBorder="1" applyAlignment="1">
      <alignment vertical="center"/>
    </xf>
    <xf numFmtId="0" fontId="8" fillId="4" borderId="13" xfId="0" applyFont="1" applyFill="1" applyBorder="1" applyAlignment="1">
      <alignment vertical="center"/>
    </xf>
    <xf numFmtId="0" fontId="10" fillId="4" borderId="0" xfId="0" applyFont="1" applyFill="1"/>
    <xf numFmtId="0" fontId="2" fillId="9" borderId="30" xfId="0" applyFont="1" applyFill="1" applyBorder="1" applyAlignment="1">
      <alignment vertical="center"/>
    </xf>
    <xf numFmtId="0" fontId="8" fillId="9" borderId="17" xfId="0" applyFont="1" applyFill="1" applyBorder="1" applyAlignment="1">
      <alignment vertical="center"/>
    </xf>
    <xf numFmtId="0" fontId="10" fillId="4" borderId="0" xfId="0" applyFont="1" applyFill="1" applyAlignment="1">
      <alignment vertical="center"/>
    </xf>
    <xf numFmtId="0" fontId="10" fillId="4" borderId="22" xfId="0" applyFont="1" applyFill="1" applyBorder="1" applyAlignment="1">
      <alignment vertical="center"/>
    </xf>
    <xf numFmtId="0" fontId="0" fillId="4" borderId="0" xfId="0" applyFill="1" applyAlignment="1">
      <alignment vertical="center"/>
    </xf>
    <xf numFmtId="0" fontId="0" fillId="4" borderId="22" xfId="0" applyFill="1" applyBorder="1" applyAlignment="1">
      <alignment vertical="center"/>
    </xf>
    <xf numFmtId="0" fontId="0" fillId="0" borderId="0" xfId="0" applyAlignment="1">
      <alignment wrapText="1"/>
    </xf>
    <xf numFmtId="168" fontId="20" fillId="2" borderId="0" xfId="1" applyNumberFormat="1" applyFont="1" applyFill="1" applyBorder="1" applyAlignment="1">
      <alignment vertical="center"/>
    </xf>
    <xf numFmtId="168" fontId="20" fillId="2" borderId="0" xfId="1" applyNumberFormat="1" applyFont="1" applyFill="1" applyBorder="1"/>
    <xf numFmtId="175" fontId="0" fillId="2" borderId="0" xfId="0" applyNumberFormat="1" applyFill="1"/>
    <xf numFmtId="0" fontId="0" fillId="2" borderId="1" xfId="0" applyFill="1" applyBorder="1" applyAlignment="1">
      <alignment vertical="center" wrapText="1"/>
    </xf>
    <xf numFmtId="167" fontId="5" fillId="3" borderId="27" xfId="1" applyNumberFormat="1" applyFont="1" applyFill="1" applyBorder="1" applyAlignment="1">
      <alignment horizontal="center" vertical="center"/>
    </xf>
    <xf numFmtId="167" fontId="5" fillId="2" borderId="4" xfId="1" applyNumberFormat="1" applyFont="1" applyFill="1" applyBorder="1" applyAlignment="1">
      <alignment horizontal="center" vertical="center"/>
    </xf>
    <xf numFmtId="167" fontId="5" fillId="3" borderId="28" xfId="1" applyNumberFormat="1" applyFont="1" applyFill="1" applyBorder="1" applyAlignment="1">
      <alignment horizontal="center" vertical="center"/>
    </xf>
    <xf numFmtId="167" fontId="5" fillId="2" borderId="6" xfId="1" applyNumberFormat="1" applyFont="1" applyFill="1" applyBorder="1" applyAlignment="1">
      <alignment horizontal="center" vertical="center"/>
    </xf>
    <xf numFmtId="0" fontId="0" fillId="2" borderId="10" xfId="0" quotePrefix="1" applyFill="1" applyBorder="1" applyAlignment="1">
      <alignment horizontal="center" vertical="center" wrapText="1"/>
    </xf>
    <xf numFmtId="0" fontId="0" fillId="2" borderId="48" xfId="0" quotePrefix="1" applyFill="1" applyBorder="1" applyAlignment="1">
      <alignment horizontal="center" vertical="center" wrapText="1"/>
    </xf>
    <xf numFmtId="0" fontId="6" fillId="2" borderId="10" xfId="0" quotePrefix="1" applyFont="1" applyFill="1" applyBorder="1" applyAlignment="1">
      <alignment horizontal="center" vertical="center" wrapText="1"/>
    </xf>
    <xf numFmtId="0" fontId="0" fillId="2" borderId="47" xfId="0" quotePrefix="1" applyFill="1" applyBorder="1" applyAlignment="1">
      <alignment horizontal="center" vertical="center" wrapText="1"/>
    </xf>
    <xf numFmtId="0" fontId="0" fillId="2" borderId="27" xfId="0" quotePrefix="1" applyFill="1" applyBorder="1" applyAlignment="1">
      <alignment horizontal="center" vertical="center" wrapText="1"/>
    </xf>
    <xf numFmtId="0" fontId="0" fillId="2" borderId="11" xfId="0" quotePrefix="1" applyFill="1" applyBorder="1" applyAlignment="1">
      <alignment horizontal="center" vertical="center" wrapText="1"/>
    </xf>
    <xf numFmtId="167" fontId="5" fillId="2" borderId="28" xfId="1" applyNumberFormat="1" applyFont="1" applyFill="1" applyBorder="1" applyAlignment="1">
      <alignment horizontal="center" vertical="center"/>
    </xf>
    <xf numFmtId="167" fontId="5" fillId="2" borderId="31" xfId="1" applyNumberFormat="1" applyFont="1" applyFill="1" applyBorder="1" applyAlignment="1">
      <alignment horizontal="center" vertical="center"/>
    </xf>
    <xf numFmtId="10" fontId="5" fillId="3" borderId="27" xfId="1" applyNumberFormat="1" applyFont="1" applyFill="1" applyBorder="1" applyAlignment="1">
      <alignment horizontal="center" vertical="center"/>
    </xf>
    <xf numFmtId="10" fontId="5" fillId="3" borderId="19" xfId="1" applyNumberFormat="1" applyFont="1" applyFill="1" applyBorder="1" applyAlignment="1">
      <alignment horizontal="center" vertical="center"/>
    </xf>
    <xf numFmtId="10" fontId="20" fillId="3" borderId="19" xfId="1" applyNumberFormat="1" applyFont="1" applyFill="1" applyBorder="1" applyAlignment="1">
      <alignment horizontal="center" vertical="center"/>
    </xf>
    <xf numFmtId="10" fontId="20" fillId="0" borderId="19" xfId="1" applyNumberFormat="1" applyFont="1" applyFill="1" applyBorder="1" applyAlignment="1">
      <alignment horizontal="center" vertical="center"/>
    </xf>
    <xf numFmtId="0" fontId="0" fillId="2" borderId="0" xfId="0" applyFill="1" applyAlignment="1">
      <alignment horizontal="left" wrapText="1"/>
    </xf>
    <xf numFmtId="0" fontId="4" fillId="2" borderId="0" xfId="0" applyFont="1" applyFill="1"/>
    <xf numFmtId="168" fontId="0" fillId="2" borderId="0" xfId="0" applyNumberFormat="1" applyFill="1"/>
    <xf numFmtId="176" fontId="0" fillId="2" borderId="0" xfId="0" applyNumberFormat="1" applyFill="1"/>
    <xf numFmtId="0" fontId="14" fillId="4" borderId="48" xfId="0" applyFont="1" applyFill="1" applyBorder="1" applyAlignment="1">
      <alignment vertical="center"/>
    </xf>
    <xf numFmtId="0" fontId="12" fillId="5" borderId="50" xfId="0" applyFont="1" applyFill="1" applyBorder="1"/>
    <xf numFmtId="0" fontId="12" fillId="4" borderId="50" xfId="0" applyFont="1" applyFill="1" applyBorder="1"/>
    <xf numFmtId="0" fontId="13" fillId="4" borderId="48" xfId="0" applyFont="1" applyFill="1" applyBorder="1" applyAlignment="1">
      <alignment vertical="center"/>
    </xf>
    <xf numFmtId="0" fontId="11" fillId="4" borderId="50" xfId="0" applyFont="1" applyFill="1" applyBorder="1"/>
    <xf numFmtId="0" fontId="11" fillId="5" borderId="50" xfId="0" applyFont="1" applyFill="1" applyBorder="1"/>
    <xf numFmtId="0" fontId="12" fillId="4" borderId="53" xfId="0" applyFont="1" applyFill="1" applyBorder="1" applyAlignment="1">
      <alignment vertical="center"/>
    </xf>
    <xf numFmtId="0" fontId="12" fillId="5" borderId="53" xfId="0" applyFont="1" applyFill="1" applyBorder="1" applyAlignment="1">
      <alignment vertical="center"/>
    </xf>
    <xf numFmtId="0" fontId="11" fillId="4" borderId="53" xfId="0" applyFont="1" applyFill="1" applyBorder="1" applyAlignment="1">
      <alignment vertical="center"/>
    </xf>
    <xf numFmtId="0" fontId="2" fillId="8" borderId="19" xfId="0" applyFont="1" applyFill="1" applyBorder="1" applyAlignment="1">
      <alignment vertical="center" wrapText="1"/>
    </xf>
    <xf numFmtId="0" fontId="25" fillId="8" borderId="9" xfId="0" applyFont="1" applyFill="1" applyBorder="1" applyAlignment="1">
      <alignment horizontal="center" vertical="center"/>
    </xf>
    <xf numFmtId="168" fontId="2" fillId="9" borderId="9" xfId="1" applyNumberFormat="1" applyFont="1" applyFill="1" applyBorder="1" applyAlignment="1">
      <alignment vertical="center"/>
    </xf>
    <xf numFmtId="0" fontId="2" fillId="8" borderId="1" xfId="0" applyFont="1" applyFill="1" applyBorder="1" applyAlignment="1">
      <alignment vertical="center"/>
    </xf>
    <xf numFmtId="0" fontId="25" fillId="8" borderId="27" xfId="0" applyFont="1" applyFill="1" applyBorder="1" applyAlignment="1">
      <alignment horizontal="center" vertical="center"/>
    </xf>
    <xf numFmtId="168" fontId="2" fillId="9" borderId="1" xfId="1" applyNumberFormat="1" applyFont="1" applyFill="1" applyBorder="1" applyAlignment="1">
      <alignment vertical="center"/>
    </xf>
    <xf numFmtId="168" fontId="2" fillId="8" borderId="1" xfId="1" applyNumberFormat="1" applyFont="1" applyFill="1" applyBorder="1" applyAlignment="1">
      <alignment vertical="center"/>
    </xf>
    <xf numFmtId="168" fontId="2" fillId="8" borderId="2" xfId="1" applyNumberFormat="1" applyFont="1" applyFill="1" applyBorder="1" applyAlignment="1">
      <alignment vertical="center"/>
    </xf>
    <xf numFmtId="168" fontId="2" fillId="8" borderId="3" xfId="1" applyNumberFormat="1" applyFont="1" applyFill="1" applyBorder="1" applyAlignment="1">
      <alignment vertical="center"/>
    </xf>
    <xf numFmtId="0" fontId="25" fillId="8" borderId="31" xfId="0" applyFont="1" applyFill="1" applyBorder="1" applyAlignment="1">
      <alignment horizontal="center" vertical="center"/>
    </xf>
    <xf numFmtId="168" fontId="2" fillId="9" borderId="6" xfId="1" applyNumberFormat="1" applyFont="1" applyFill="1" applyBorder="1" applyAlignment="1">
      <alignment vertical="center"/>
    </xf>
    <xf numFmtId="168" fontId="2" fillId="8" borderId="6" xfId="1" applyNumberFormat="1" applyFont="1" applyFill="1" applyBorder="1" applyAlignment="1">
      <alignment vertical="center"/>
    </xf>
    <xf numFmtId="168" fontId="2" fillId="8" borderId="7" xfId="1" applyNumberFormat="1" applyFont="1" applyFill="1" applyBorder="1" applyAlignment="1">
      <alignment vertical="center"/>
    </xf>
    <xf numFmtId="168" fontId="2" fillId="8" borderId="8" xfId="1" applyNumberFormat="1" applyFont="1" applyFill="1" applyBorder="1" applyAlignment="1">
      <alignment vertical="center"/>
    </xf>
    <xf numFmtId="169" fontId="0" fillId="2" borderId="0" xfId="0" applyNumberFormat="1" applyFill="1"/>
    <xf numFmtId="165" fontId="0" fillId="2" borderId="0" xfId="0" applyNumberFormat="1" applyFill="1"/>
    <xf numFmtId="10" fontId="0" fillId="2" borderId="0" xfId="0" applyNumberFormat="1" applyFill="1"/>
    <xf numFmtId="167" fontId="0" fillId="2" borderId="0" xfId="0" applyNumberFormat="1" applyFill="1"/>
    <xf numFmtId="0" fontId="0" fillId="0" borderId="5" xfId="0" applyBorder="1" applyAlignment="1">
      <alignment vertical="center" wrapText="1"/>
    </xf>
    <xf numFmtId="10" fontId="36" fillId="2" borderId="2" xfId="0" applyNumberFormat="1" applyFont="1" applyFill="1" applyBorder="1"/>
    <xf numFmtId="10" fontId="36" fillId="2" borderId="3" xfId="0" applyNumberFormat="1" applyFont="1" applyFill="1" applyBorder="1"/>
    <xf numFmtId="168" fontId="36" fillId="2" borderId="1" xfId="1" applyNumberFormat="1" applyFont="1" applyFill="1" applyBorder="1" applyAlignment="1">
      <alignment vertical="center"/>
    </xf>
    <xf numFmtId="168" fontId="36" fillId="2" borderId="2" xfId="1" applyNumberFormat="1" applyFont="1" applyFill="1" applyBorder="1" applyAlignment="1">
      <alignment vertical="center"/>
    </xf>
    <xf numFmtId="168" fontId="36" fillId="2" borderId="3" xfId="1" applyNumberFormat="1" applyFont="1" applyFill="1" applyBorder="1" applyAlignment="1">
      <alignment vertical="center"/>
    </xf>
    <xf numFmtId="168" fontId="36" fillId="2" borderId="6" xfId="1" applyNumberFormat="1" applyFont="1" applyFill="1" applyBorder="1" applyAlignment="1">
      <alignment vertical="center"/>
    </xf>
    <xf numFmtId="168" fontId="36" fillId="2" borderId="7" xfId="1" applyNumberFormat="1" applyFont="1" applyFill="1" applyBorder="1" applyAlignment="1">
      <alignment vertical="center"/>
    </xf>
    <xf numFmtId="168" fontId="36" fillId="2" borderId="8" xfId="1" applyNumberFormat="1" applyFont="1" applyFill="1" applyBorder="1" applyAlignment="1">
      <alignment vertical="center"/>
    </xf>
    <xf numFmtId="168" fontId="36" fillId="3" borderId="4" xfId="1" applyNumberFormat="1" applyFont="1" applyFill="1" applyBorder="1" applyAlignment="1">
      <alignment vertical="center"/>
    </xf>
    <xf numFmtId="168" fontId="36" fillId="3" borderId="0" xfId="1" applyNumberFormat="1" applyFont="1" applyFill="1" applyBorder="1" applyAlignment="1">
      <alignment vertical="center"/>
    </xf>
    <xf numFmtId="168" fontId="36" fillId="3" borderId="5" xfId="1" applyNumberFormat="1" applyFont="1" applyFill="1" applyBorder="1" applyAlignment="1">
      <alignment vertical="center"/>
    </xf>
    <xf numFmtId="165" fontId="36" fillId="2" borderId="1" xfId="1" applyNumberFormat="1" applyFont="1" applyFill="1" applyBorder="1" applyAlignment="1">
      <alignment vertical="center"/>
    </xf>
    <xf numFmtId="165" fontId="36" fillId="2" borderId="2" xfId="1" applyNumberFormat="1" applyFont="1" applyFill="1" applyBorder="1" applyAlignment="1">
      <alignment vertical="center"/>
    </xf>
    <xf numFmtId="165" fontId="36" fillId="2" borderId="3" xfId="1" applyNumberFormat="1" applyFont="1" applyFill="1" applyBorder="1" applyAlignment="1">
      <alignment vertical="center"/>
    </xf>
    <xf numFmtId="165" fontId="36" fillId="3" borderId="4" xfId="1" applyNumberFormat="1" applyFont="1" applyFill="1" applyBorder="1" applyAlignment="1">
      <alignment vertical="center"/>
    </xf>
    <xf numFmtId="165" fontId="36" fillId="3" borderId="0" xfId="1" applyNumberFormat="1" applyFont="1" applyFill="1" applyBorder="1" applyAlignment="1">
      <alignment vertical="center"/>
    </xf>
    <xf numFmtId="165" fontId="36" fillId="3" borderId="5" xfId="1" applyNumberFormat="1" applyFont="1" applyFill="1" applyBorder="1" applyAlignment="1">
      <alignment vertical="center"/>
    </xf>
    <xf numFmtId="165" fontId="36" fillId="2" borderId="4" xfId="1" applyNumberFormat="1" applyFont="1" applyFill="1" applyBorder="1" applyAlignment="1">
      <alignment vertical="center"/>
    </xf>
    <xf numFmtId="165" fontId="36" fillId="2" borderId="0" xfId="1" applyNumberFormat="1" applyFont="1" applyFill="1" applyBorder="1" applyAlignment="1">
      <alignment vertical="center"/>
    </xf>
    <xf numFmtId="165" fontId="36" fillId="2" borderId="5" xfId="1" applyNumberFormat="1" applyFont="1" applyFill="1" applyBorder="1" applyAlignment="1">
      <alignment vertical="center"/>
    </xf>
    <xf numFmtId="165" fontId="36" fillId="2" borderId="6" xfId="1" applyNumberFormat="1" applyFont="1" applyFill="1" applyBorder="1" applyAlignment="1">
      <alignment vertical="center"/>
    </xf>
    <xf numFmtId="165" fontId="36" fillId="2" borderId="7" xfId="1" applyNumberFormat="1" applyFont="1" applyFill="1" applyBorder="1" applyAlignment="1">
      <alignment vertical="center"/>
    </xf>
    <xf numFmtId="165" fontId="36" fillId="2" borderId="8" xfId="1" applyNumberFormat="1" applyFont="1" applyFill="1" applyBorder="1" applyAlignment="1">
      <alignment vertical="center"/>
    </xf>
    <xf numFmtId="168" fontId="36" fillId="2" borderId="4" xfId="1" applyNumberFormat="1" applyFont="1" applyFill="1" applyBorder="1" applyAlignment="1">
      <alignment vertical="center"/>
    </xf>
    <xf numFmtId="168" fontId="36" fillId="2" borderId="0" xfId="1" applyNumberFormat="1" applyFont="1" applyFill="1" applyBorder="1" applyAlignment="1">
      <alignment vertical="center"/>
    </xf>
    <xf numFmtId="168" fontId="36" fillId="2" borderId="5" xfId="1" applyNumberFormat="1" applyFont="1" applyFill="1" applyBorder="1" applyAlignment="1">
      <alignment vertical="center"/>
    </xf>
    <xf numFmtId="10" fontId="17" fillId="3" borderId="50" xfId="0" applyNumberFormat="1" applyFont="1" applyFill="1" applyBorder="1" applyAlignment="1">
      <alignment vertical="center"/>
    </xf>
    <xf numFmtId="10" fontId="37" fillId="6" borderId="53" xfId="0" applyNumberFormat="1" applyFont="1" applyFill="1" applyBorder="1" applyAlignment="1">
      <alignment vertical="center"/>
    </xf>
    <xf numFmtId="174" fontId="17" fillId="3" borderId="50" xfId="0" applyNumberFormat="1" applyFont="1" applyFill="1" applyBorder="1"/>
    <xf numFmtId="10" fontId="17" fillId="2" borderId="50" xfId="0" applyNumberFormat="1" applyFont="1" applyFill="1" applyBorder="1"/>
    <xf numFmtId="9" fontId="17" fillId="2" borderId="50" xfId="0" applyNumberFormat="1" applyFont="1" applyFill="1" applyBorder="1"/>
    <xf numFmtId="168" fontId="18" fillId="2" borderId="6" xfId="1" applyNumberFormat="1" applyFont="1" applyFill="1" applyBorder="1" applyAlignment="1">
      <alignment vertical="center"/>
    </xf>
    <xf numFmtId="168" fontId="18" fillId="2" borderId="8" xfId="1" applyNumberFormat="1" applyFont="1" applyFill="1" applyBorder="1" applyAlignment="1">
      <alignment vertical="center"/>
    </xf>
    <xf numFmtId="168" fontId="20" fillId="3" borderId="5" xfId="1" applyNumberFormat="1" applyFont="1" applyFill="1" applyBorder="1" applyAlignment="1">
      <alignment vertical="center"/>
    </xf>
    <xf numFmtId="9" fontId="17" fillId="2" borderId="50" xfId="0" applyNumberFormat="1" applyFont="1" applyFill="1" applyBorder="1" applyAlignment="1">
      <alignment vertical="center"/>
    </xf>
    <xf numFmtId="0" fontId="16" fillId="2" borderId="0" xfId="3" applyFill="1"/>
    <xf numFmtId="10" fontId="17" fillId="3" borderId="50" xfId="0" applyNumberFormat="1" applyFont="1" applyFill="1" applyBorder="1"/>
    <xf numFmtId="168" fontId="17" fillId="2" borderId="0" xfId="1" applyNumberFormat="1" applyFont="1" applyFill="1" applyBorder="1"/>
    <xf numFmtId="168" fontId="18" fillId="2" borderId="0" xfId="0" applyNumberFormat="1" applyFont="1" applyFill="1"/>
    <xf numFmtId="168" fontId="18" fillId="13" borderId="0" xfId="1" applyNumberFormat="1" applyFont="1" applyFill="1" applyBorder="1"/>
    <xf numFmtId="0" fontId="4" fillId="2" borderId="28" xfId="0" applyFont="1" applyFill="1" applyBorder="1" applyAlignment="1">
      <alignment horizontal="center" vertical="center"/>
    </xf>
    <xf numFmtId="168" fontId="5" fillId="4" borderId="4" xfId="1" applyNumberFormat="1" applyFont="1" applyFill="1" applyBorder="1" applyAlignment="1">
      <alignment vertical="center"/>
    </xf>
    <xf numFmtId="0" fontId="0" fillId="3" borderId="6" xfId="0" applyFill="1" applyBorder="1" applyAlignment="1">
      <alignment vertical="center"/>
    </xf>
    <xf numFmtId="0" fontId="4" fillId="3" borderId="6" xfId="0" applyFont="1" applyFill="1" applyBorder="1" applyAlignment="1">
      <alignment horizontal="center" vertical="center"/>
    </xf>
    <xf numFmtId="168" fontId="5" fillId="5" borderId="6" xfId="1" applyNumberFormat="1" applyFont="1" applyFill="1" applyBorder="1" applyAlignment="1">
      <alignment vertical="center"/>
    </xf>
    <xf numFmtId="168" fontId="5" fillId="3" borderId="6" xfId="1" applyNumberFormat="1" applyFont="1" applyFill="1" applyBorder="1" applyAlignment="1">
      <alignment vertical="center"/>
    </xf>
    <xf numFmtId="168" fontId="5" fillId="3" borderId="7" xfId="1" applyNumberFormat="1" applyFont="1" applyFill="1" applyBorder="1" applyAlignment="1">
      <alignment vertical="center"/>
    </xf>
    <xf numFmtId="168" fontId="5" fillId="3" borderId="8" xfId="1" applyNumberFormat="1" applyFont="1" applyFill="1" applyBorder="1" applyAlignment="1">
      <alignment vertical="center"/>
    </xf>
    <xf numFmtId="165" fontId="18" fillId="3" borderId="6" xfId="1" applyNumberFormat="1" applyFont="1" applyFill="1" applyBorder="1"/>
    <xf numFmtId="165" fontId="18" fillId="3" borderId="7" xfId="1" applyNumberFormat="1" applyFont="1" applyFill="1" applyBorder="1"/>
    <xf numFmtId="165" fontId="18" fillId="2" borderId="2" xfId="1" applyNumberFormat="1" applyFont="1" applyFill="1" applyBorder="1" applyAlignment="1">
      <alignment vertical="center"/>
    </xf>
    <xf numFmtId="165" fontId="18" fillId="3" borderId="0" xfId="1" applyNumberFormat="1" applyFont="1" applyFill="1" applyBorder="1" applyAlignment="1">
      <alignment vertical="center"/>
    </xf>
    <xf numFmtId="165" fontId="18" fillId="2" borderId="0" xfId="1" applyNumberFormat="1" applyFont="1" applyFill="1" applyBorder="1" applyAlignment="1">
      <alignment vertical="center"/>
    </xf>
    <xf numFmtId="165" fontId="18" fillId="2" borderId="7" xfId="1" applyNumberFormat="1" applyFont="1" applyFill="1" applyBorder="1" applyAlignment="1">
      <alignment vertical="center"/>
    </xf>
    <xf numFmtId="0" fontId="0" fillId="3" borderId="0" xfId="0" applyFill="1" applyAlignment="1">
      <alignment horizontal="left" vertical="center"/>
    </xf>
    <xf numFmtId="0" fontId="0" fillId="2" borderId="0" xfId="0" applyFill="1" applyAlignment="1">
      <alignment horizontal="left" vertical="center"/>
    </xf>
    <xf numFmtId="0" fontId="0" fillId="2" borderId="4" xfId="0" applyFill="1" applyBorder="1" applyAlignment="1">
      <alignment vertical="top"/>
    </xf>
    <xf numFmtId="0" fontId="0" fillId="2" borderId="0" xfId="0" applyFill="1" applyAlignment="1">
      <alignment horizontal="center"/>
    </xf>
    <xf numFmtId="177" fontId="0" fillId="2" borderId="0" xfId="0" applyNumberFormat="1" applyFill="1"/>
    <xf numFmtId="167" fontId="31" fillId="3" borderId="27" xfId="1" applyNumberFormat="1" applyFont="1" applyFill="1" applyBorder="1" applyAlignment="1">
      <alignment horizontal="center" vertical="center"/>
    </xf>
    <xf numFmtId="167" fontId="31" fillId="2" borderId="4" xfId="1" applyNumberFormat="1" applyFont="1" applyFill="1" applyBorder="1" applyAlignment="1">
      <alignment horizontal="center" vertical="center"/>
    </xf>
    <xf numFmtId="167" fontId="31" fillId="3" borderId="28" xfId="1" applyNumberFormat="1" applyFont="1" applyFill="1" applyBorder="1" applyAlignment="1">
      <alignment horizontal="center" vertical="center"/>
    </xf>
    <xf numFmtId="167" fontId="31" fillId="2" borderId="6" xfId="1" applyNumberFormat="1" applyFont="1" applyFill="1" applyBorder="1" applyAlignment="1">
      <alignment horizontal="center" vertical="center"/>
    </xf>
    <xf numFmtId="10" fontId="31" fillId="3" borderId="27" xfId="1" applyNumberFormat="1" applyFont="1" applyFill="1" applyBorder="1" applyAlignment="1">
      <alignment horizontal="center" vertical="center"/>
    </xf>
    <xf numFmtId="10" fontId="31" fillId="3" borderId="19" xfId="1" applyNumberFormat="1" applyFont="1" applyFill="1" applyBorder="1" applyAlignment="1">
      <alignment horizontal="center" vertical="center"/>
    </xf>
    <xf numFmtId="10" fontId="31" fillId="0" borderId="19" xfId="1" applyNumberFormat="1" applyFont="1" applyFill="1" applyBorder="1" applyAlignment="1">
      <alignment horizontal="center" vertical="center"/>
    </xf>
    <xf numFmtId="0" fontId="2" fillId="2" borderId="48" xfId="0" quotePrefix="1" applyFont="1" applyFill="1" applyBorder="1" applyAlignment="1">
      <alignment horizontal="center" vertical="center" wrapText="1"/>
    </xf>
    <xf numFmtId="0" fontId="31" fillId="2" borderId="48" xfId="0" quotePrefix="1" applyFont="1" applyFill="1" applyBorder="1" applyAlignment="1">
      <alignment horizontal="center" vertical="center" wrapText="1"/>
    </xf>
    <xf numFmtId="0" fontId="0" fillId="2" borderId="0" xfId="0" applyFill="1" applyAlignment="1">
      <alignment vertical="top" wrapText="1"/>
    </xf>
    <xf numFmtId="0" fontId="41" fillId="2" borderId="0" xfId="0" applyFont="1" applyFill="1"/>
    <xf numFmtId="0" fontId="0" fillId="2" borderId="0" xfId="0" applyFill="1" applyAlignment="1">
      <alignment horizontal="right"/>
    </xf>
    <xf numFmtId="43" fontId="0" fillId="2" borderId="0" xfId="6" applyFont="1" applyFill="1"/>
    <xf numFmtId="0" fontId="20" fillId="2" borderId="0" xfId="0" applyFont="1" applyFill="1"/>
    <xf numFmtId="0" fontId="16" fillId="0" borderId="0" xfId="3"/>
    <xf numFmtId="0" fontId="40" fillId="0" borderId="0" xfId="0" applyFont="1"/>
    <xf numFmtId="0" fontId="40" fillId="0" borderId="0" xfId="0" applyFont="1" applyAlignment="1">
      <alignment vertical="top"/>
    </xf>
    <xf numFmtId="165" fontId="5" fillId="3" borderId="4" xfId="1" applyNumberFormat="1" applyFont="1" applyFill="1" applyBorder="1" applyAlignment="1">
      <alignment vertical="center"/>
    </xf>
    <xf numFmtId="0" fontId="29" fillId="14" borderId="0" xfId="0" applyFont="1" applyFill="1"/>
    <xf numFmtId="0" fontId="0" fillId="0" borderId="4" xfId="0" applyBorder="1"/>
    <xf numFmtId="0" fontId="12" fillId="5" borderId="27" xfId="0" applyFont="1" applyFill="1" applyBorder="1"/>
    <xf numFmtId="0" fontId="12" fillId="4" borderId="28" xfId="0" applyFont="1" applyFill="1" applyBorder="1"/>
    <xf numFmtId="0" fontId="12" fillId="5" borderId="28" xfId="0" applyFont="1" applyFill="1" applyBorder="1"/>
    <xf numFmtId="168" fontId="2" fillId="3" borderId="5" xfId="1" applyNumberFormat="1" applyFont="1" applyFill="1" applyBorder="1"/>
    <xf numFmtId="168" fontId="18" fillId="7" borderId="3" xfId="1" applyNumberFormat="1" applyFont="1" applyFill="1" applyBorder="1"/>
    <xf numFmtId="0" fontId="12" fillId="4" borderId="5" xfId="0" applyFont="1" applyFill="1" applyBorder="1"/>
    <xf numFmtId="168" fontId="18" fillId="7" borderId="5" xfId="1" applyNumberFormat="1" applyFont="1" applyFill="1" applyBorder="1"/>
    <xf numFmtId="168" fontId="18" fillId="3" borderId="5" xfId="1" applyNumberFormat="1" applyFont="1" applyFill="1" applyBorder="1"/>
    <xf numFmtId="168" fontId="18" fillId="0" borderId="5" xfId="1" applyNumberFormat="1" applyFont="1" applyFill="1" applyBorder="1"/>
    <xf numFmtId="168" fontId="2" fillId="0" borderId="5" xfId="1" applyNumberFormat="1" applyFont="1" applyFill="1" applyBorder="1"/>
    <xf numFmtId="168" fontId="18" fillId="3" borderId="28" xfId="1" applyNumberFormat="1" applyFont="1" applyFill="1" applyBorder="1"/>
    <xf numFmtId="0" fontId="14" fillId="0" borderId="19" xfId="0" applyFont="1" applyBorder="1" applyAlignment="1">
      <alignment vertical="center"/>
    </xf>
    <xf numFmtId="168" fontId="19" fillId="0" borderId="3" xfId="1" applyNumberFormat="1" applyFont="1" applyFill="1" applyBorder="1"/>
    <xf numFmtId="168" fontId="20" fillId="7" borderId="3" xfId="1" applyNumberFormat="1" applyFont="1" applyFill="1" applyBorder="1"/>
    <xf numFmtId="0" fontId="37" fillId="4" borderId="5" xfId="0" applyFont="1" applyFill="1" applyBorder="1"/>
    <xf numFmtId="168" fontId="20" fillId="7" borderId="5" xfId="1" applyNumberFormat="1" applyFont="1" applyFill="1" applyBorder="1"/>
    <xf numFmtId="10" fontId="31" fillId="0" borderId="19" xfId="1" applyNumberFormat="1" applyFont="1" applyBorder="1" applyAlignment="1">
      <alignment horizontal="center" vertical="center"/>
    </xf>
    <xf numFmtId="166" fontId="0" fillId="2" borderId="0" xfId="0" applyNumberFormat="1" applyFill="1"/>
    <xf numFmtId="10" fontId="0" fillId="2" borderId="57" xfId="2" applyNumberFormat="1" applyFont="1" applyFill="1" applyBorder="1"/>
    <xf numFmtId="168" fontId="18" fillId="0" borderId="28" xfId="1" applyNumberFormat="1" applyFont="1" applyBorder="1"/>
    <xf numFmtId="168" fontId="18" fillId="0" borderId="5" xfId="1" applyNumberFormat="1" applyFont="1" applyBorder="1"/>
    <xf numFmtId="168" fontId="18" fillId="3" borderId="27" xfId="1" applyNumberFormat="1" applyFont="1" applyFill="1" applyBorder="1"/>
    <xf numFmtId="168" fontId="18" fillId="3" borderId="3" xfId="1" applyNumberFormat="1" applyFont="1" applyFill="1" applyBorder="1"/>
    <xf numFmtId="165" fontId="18" fillId="3" borderId="0" xfId="1" applyNumberFormat="1" applyFont="1" applyFill="1" applyAlignment="1">
      <alignment vertical="center"/>
    </xf>
    <xf numFmtId="165" fontId="18" fillId="2" borderId="0" xfId="1" applyNumberFormat="1" applyFont="1" applyFill="1" applyAlignment="1">
      <alignment vertical="center"/>
    </xf>
    <xf numFmtId="168" fontId="18" fillId="3" borderId="0" xfId="1" applyNumberFormat="1" applyFont="1" applyFill="1" applyAlignment="1">
      <alignment vertical="center"/>
    </xf>
    <xf numFmtId="168" fontId="18" fillId="2" borderId="5" xfId="1" applyNumberFormat="1" applyFont="1" applyFill="1" applyBorder="1"/>
    <xf numFmtId="168" fontId="2" fillId="2" borderId="5" xfId="1" applyNumberFormat="1" applyFont="1" applyFill="1" applyBorder="1"/>
    <xf numFmtId="0" fontId="0" fillId="0" borderId="1" xfId="0" applyBorder="1"/>
    <xf numFmtId="0" fontId="12" fillId="4" borderId="27" xfId="0" applyFont="1" applyFill="1" applyBorder="1"/>
    <xf numFmtId="168" fontId="18" fillId="0" borderId="3" xfId="1" applyNumberFormat="1" applyFont="1" applyFill="1" applyBorder="1"/>
    <xf numFmtId="168" fontId="2" fillId="0" borderId="3" xfId="1" applyNumberFormat="1" applyFont="1" applyFill="1" applyBorder="1"/>
    <xf numFmtId="168" fontId="20" fillId="0" borderId="3" xfId="1" applyNumberFormat="1" applyFont="1" applyFill="1" applyBorder="1"/>
    <xf numFmtId="168" fontId="20" fillId="3" borderId="5" xfId="1" applyNumberFormat="1" applyFont="1" applyFill="1" applyBorder="1"/>
    <xf numFmtId="168" fontId="20" fillId="0" borderId="5" xfId="1" applyNumberFormat="1" applyFont="1" applyFill="1" applyBorder="1"/>
    <xf numFmtId="168" fontId="20" fillId="2" borderId="5" xfId="1" applyNumberFormat="1" applyFont="1" applyFill="1" applyBorder="1"/>
    <xf numFmtId="166" fontId="5" fillId="4" borderId="58" xfId="1" applyNumberFormat="1" applyFont="1" applyFill="1" applyBorder="1"/>
    <xf numFmtId="165" fontId="10" fillId="4" borderId="39" xfId="1" applyNumberFormat="1" applyFont="1" applyFill="1" applyBorder="1"/>
    <xf numFmtId="166" fontId="5" fillId="4" borderId="44" xfId="1" applyNumberFormat="1" applyFont="1" applyFill="1" applyBorder="1"/>
    <xf numFmtId="165" fontId="10" fillId="4" borderId="16" xfId="1" applyNumberFormat="1" applyFont="1" applyFill="1" applyBorder="1"/>
    <xf numFmtId="168" fontId="33" fillId="0" borderId="22" xfId="1" applyNumberFormat="1" applyFont="1" applyFill="1" applyBorder="1"/>
    <xf numFmtId="0" fontId="0" fillId="2" borderId="5" xfId="0" applyFill="1" applyBorder="1" applyAlignment="1">
      <alignment vertical="center" wrapText="1"/>
    </xf>
    <xf numFmtId="168" fontId="36" fillId="3" borderId="0" xfId="1" applyNumberFormat="1" applyFont="1" applyFill="1" applyBorder="1"/>
    <xf numFmtId="168" fontId="36" fillId="2" borderId="0" xfId="1" applyNumberFormat="1" applyFont="1" applyFill="1" applyBorder="1"/>
    <xf numFmtId="178" fontId="0" fillId="2" borderId="0" xfId="0" applyNumberFormat="1" applyFill="1"/>
    <xf numFmtId="0" fontId="46" fillId="0" borderId="0" xfId="0" applyFont="1" applyAlignment="1">
      <alignment horizontal="right" vertical="center"/>
    </xf>
    <xf numFmtId="165" fontId="10" fillId="0" borderId="4" xfId="1" applyNumberFormat="1" applyFont="1" applyFill="1" applyBorder="1"/>
    <xf numFmtId="165" fontId="10" fillId="0" borderId="0" xfId="1" applyNumberFormat="1" applyFont="1" applyFill="1" applyBorder="1"/>
    <xf numFmtId="165" fontId="10" fillId="0" borderId="0" xfId="1" applyNumberFormat="1" applyFont="1" applyFill="1"/>
    <xf numFmtId="14" fontId="23" fillId="0" borderId="0" xfId="0" applyNumberFormat="1" applyFont="1" applyAlignment="1">
      <alignment horizontal="left"/>
    </xf>
    <xf numFmtId="0" fontId="6" fillId="0" borderId="0" xfId="0" applyFont="1"/>
    <xf numFmtId="0" fontId="47" fillId="14" borderId="0" xfId="0" applyFont="1" applyFill="1"/>
    <xf numFmtId="0" fontId="47" fillId="2" borderId="0" xfId="0" applyFont="1" applyFill="1"/>
    <xf numFmtId="10" fontId="18" fillId="0" borderId="3" xfId="0" applyNumberFormat="1" applyFont="1" applyBorder="1"/>
    <xf numFmtId="165" fontId="18" fillId="2" borderId="5" xfId="1" applyNumberFormat="1" applyFont="1" applyFill="1" applyBorder="1" applyAlignment="1">
      <alignment vertical="center"/>
    </xf>
    <xf numFmtId="165" fontId="18" fillId="2" borderId="3" xfId="1" applyNumberFormat="1" applyFont="1" applyFill="1" applyBorder="1" applyAlignment="1">
      <alignment vertical="center"/>
    </xf>
    <xf numFmtId="165" fontId="18" fillId="3" borderId="5" xfId="1" applyNumberFormat="1" applyFont="1" applyFill="1" applyBorder="1" applyAlignment="1">
      <alignment vertical="center"/>
    </xf>
    <xf numFmtId="165" fontId="18" fillId="2" borderId="8" xfId="1" applyNumberFormat="1" applyFont="1" applyFill="1" applyBorder="1" applyAlignment="1">
      <alignment vertical="center"/>
    </xf>
    <xf numFmtId="167" fontId="36" fillId="3" borderId="27" xfId="1" applyNumberFormat="1" applyFont="1" applyFill="1" applyBorder="1" applyAlignment="1">
      <alignment vertical="center"/>
    </xf>
    <xf numFmtId="167" fontId="36" fillId="2" borderId="4" xfId="1" applyNumberFormat="1" applyFont="1" applyFill="1" applyBorder="1" applyAlignment="1">
      <alignment vertical="center"/>
    </xf>
    <xf numFmtId="167" fontId="36" fillId="3" borderId="28" xfId="1" applyNumberFormat="1" applyFont="1" applyFill="1" applyBorder="1" applyAlignment="1">
      <alignment vertical="center"/>
    </xf>
    <xf numFmtId="167" fontId="36" fillId="2" borderId="6" xfId="1" applyNumberFormat="1" applyFont="1" applyFill="1" applyBorder="1" applyAlignment="1">
      <alignment vertical="center"/>
    </xf>
    <xf numFmtId="0" fontId="36" fillId="2" borderId="48" xfId="0" quotePrefix="1" applyFont="1" applyFill="1" applyBorder="1" applyAlignment="1">
      <alignment vertical="center" wrapText="1"/>
    </xf>
    <xf numFmtId="10" fontId="36" fillId="3" borderId="27" xfId="1" applyNumberFormat="1" applyFont="1" applyFill="1" applyBorder="1" applyAlignment="1">
      <alignment vertical="center"/>
    </xf>
    <xf numFmtId="168" fontId="17" fillId="0" borderId="0" xfId="1" applyNumberFormat="1" applyFont="1" applyFill="1" applyBorder="1"/>
    <xf numFmtId="168" fontId="23" fillId="2" borderId="0" xfId="1" applyNumberFormat="1" applyFont="1" applyFill="1" applyBorder="1"/>
    <xf numFmtId="168" fontId="0" fillId="2" borderId="5" xfId="1" applyNumberFormat="1" applyFont="1" applyFill="1" applyBorder="1" applyAlignment="1">
      <alignment vertical="center"/>
    </xf>
    <xf numFmtId="168" fontId="0" fillId="7" borderId="5" xfId="1" applyNumberFormat="1" applyFont="1" applyFill="1" applyBorder="1" applyAlignment="1">
      <alignment vertical="center"/>
    </xf>
    <xf numFmtId="168" fontId="49" fillId="3" borderId="5" xfId="1" applyNumberFormat="1" applyFont="1" applyFill="1" applyBorder="1" applyAlignment="1">
      <alignment vertical="center"/>
    </xf>
    <xf numFmtId="168" fontId="18" fillId="2" borderId="5" xfId="1" applyNumberFormat="1" applyFont="1" applyFill="1" applyBorder="1" applyAlignment="1">
      <alignment vertical="center"/>
    </xf>
    <xf numFmtId="168" fontId="2" fillId="8" borderId="11" xfId="0" applyNumberFormat="1" applyFont="1" applyFill="1" applyBorder="1" applyAlignment="1">
      <alignment vertical="center"/>
    </xf>
    <xf numFmtId="168" fontId="49" fillId="3" borderId="0" xfId="1" applyNumberFormat="1" applyFont="1" applyFill="1" applyBorder="1" applyAlignment="1">
      <alignment vertical="center"/>
    </xf>
    <xf numFmtId="168" fontId="49" fillId="3" borderId="4" xfId="1" applyNumberFormat="1" applyFont="1" applyFill="1" applyBorder="1" applyAlignment="1">
      <alignment vertical="center"/>
    </xf>
    <xf numFmtId="0" fontId="16" fillId="0" borderId="0" xfId="3" applyAlignment="1">
      <alignment vertical="center"/>
    </xf>
    <xf numFmtId="0" fontId="0" fillId="2" borderId="7" xfId="0" applyFill="1" applyBorder="1" applyAlignment="1">
      <alignment horizontal="right"/>
    </xf>
    <xf numFmtId="0" fontId="50" fillId="2" borderId="0" xfId="0" applyFont="1" applyFill="1"/>
    <xf numFmtId="0" fontId="0" fillId="3" borderId="0" xfId="0" applyFill="1" applyAlignment="1">
      <alignment wrapText="1"/>
    </xf>
    <xf numFmtId="0" fontId="51" fillId="0" borderId="0" xfId="3" applyFont="1"/>
    <xf numFmtId="0" fontId="51" fillId="2" borderId="0" xfId="3" applyFont="1" applyFill="1" applyBorder="1"/>
    <xf numFmtId="0" fontId="26" fillId="0" borderId="0" xfId="0" applyFont="1" applyAlignment="1">
      <alignment horizontal="center" wrapText="1"/>
    </xf>
    <xf numFmtId="0" fontId="27" fillId="0" borderId="0" xfId="0" applyFont="1" applyAlignment="1">
      <alignment horizontal="center"/>
    </xf>
    <xf numFmtId="0" fontId="0" fillId="2" borderId="4" xfId="0" applyFill="1" applyBorder="1" applyAlignment="1">
      <alignment wrapText="1"/>
    </xf>
    <xf numFmtId="0" fontId="0" fillId="0" borderId="0" xfId="0" applyAlignment="1">
      <alignment wrapText="1"/>
    </xf>
    <xf numFmtId="0" fontId="0" fillId="0" borderId="5" xfId="0" applyBorder="1" applyAlignment="1">
      <alignment wrapText="1"/>
    </xf>
    <xf numFmtId="0" fontId="20" fillId="0" borderId="4" xfId="0" applyFont="1" applyBorder="1" applyAlignment="1">
      <alignment wrapText="1"/>
    </xf>
    <xf numFmtId="0" fontId="20" fillId="0" borderId="0" xfId="0" applyFont="1" applyAlignment="1">
      <alignment wrapText="1"/>
    </xf>
    <xf numFmtId="0" fontId="20" fillId="0" borderId="5" xfId="0" applyFont="1" applyBorder="1" applyAlignment="1">
      <alignment wrapText="1"/>
    </xf>
    <xf numFmtId="0" fontId="0" fillId="2" borderId="4" xfId="0" applyFill="1" applyBorder="1" applyAlignment="1">
      <alignment horizontal="left" vertical="top" wrapText="1"/>
    </xf>
    <xf numFmtId="0" fontId="0" fillId="2" borderId="0" xfId="0" applyFill="1" applyAlignment="1">
      <alignment horizontal="left" vertical="top" wrapText="1"/>
    </xf>
    <xf numFmtId="0" fontId="0" fillId="2" borderId="5" xfId="0" applyFill="1" applyBorder="1" applyAlignment="1">
      <alignment horizontal="left" vertical="top" wrapText="1"/>
    </xf>
    <xf numFmtId="0" fontId="0" fillId="3" borderId="4" xfId="0" quotePrefix="1" applyFill="1" applyBorder="1" applyAlignment="1">
      <alignment vertical="center" wrapText="1"/>
    </xf>
    <xf numFmtId="0" fontId="0" fillId="3" borderId="0" xfId="0" applyFill="1" applyAlignment="1">
      <alignment vertical="center" wrapText="1"/>
    </xf>
    <xf numFmtId="0" fontId="0" fillId="2" borderId="4" xfId="0" quotePrefix="1" applyFill="1" applyBorder="1" applyAlignment="1">
      <alignment wrapText="1"/>
    </xf>
    <xf numFmtId="0" fontId="0" fillId="3" borderId="4" xfId="0" quotePrefix="1" applyFill="1" applyBorder="1" applyAlignment="1">
      <alignment wrapText="1"/>
    </xf>
    <xf numFmtId="0" fontId="0" fillId="3" borderId="0" xfId="0" applyFill="1" applyAlignment="1">
      <alignment wrapText="1"/>
    </xf>
    <xf numFmtId="0" fontId="0" fillId="2" borderId="0" xfId="0" applyFill="1" applyAlignment="1">
      <alignment horizontal="left" vertical="center" wrapText="1"/>
    </xf>
    <xf numFmtId="0" fontId="0" fillId="0" borderId="0" xfId="0" applyAlignment="1">
      <alignment horizontal="left" vertical="center" wrapText="1"/>
    </xf>
    <xf numFmtId="0" fontId="0" fillId="2" borderId="4" xfId="0" applyFill="1" applyBorder="1" applyAlignment="1">
      <alignment horizontal="center" wrapText="1"/>
    </xf>
    <xf numFmtId="0" fontId="0" fillId="2" borderId="0" xfId="0" applyFill="1" applyAlignment="1">
      <alignment horizontal="center" wrapText="1"/>
    </xf>
    <xf numFmtId="0" fontId="0" fillId="2" borderId="5" xfId="0" applyFill="1" applyBorder="1" applyAlignment="1">
      <alignment horizontal="center" wrapText="1"/>
    </xf>
    <xf numFmtId="0" fontId="45" fillId="0" borderId="4" xfId="0" applyFont="1" applyBorder="1" applyAlignment="1">
      <alignment horizontal="center"/>
    </xf>
    <xf numFmtId="0" fontId="45" fillId="0" borderId="0" xfId="0" applyFont="1" applyAlignment="1">
      <alignment horizontal="center"/>
    </xf>
    <xf numFmtId="0" fontId="45" fillId="0" borderId="5" xfId="0" applyFont="1" applyBorder="1" applyAlignment="1">
      <alignment horizontal="center"/>
    </xf>
    <xf numFmtId="173" fontId="20" fillId="2" borderId="9" xfId="0" applyNumberFormat="1" applyFont="1" applyFill="1" applyBorder="1" applyAlignment="1">
      <alignment horizontal="left" vertical="top" wrapText="1"/>
    </xf>
    <xf numFmtId="0" fontId="20" fillId="0" borderId="10" xfId="0" applyFont="1" applyBorder="1" applyAlignment="1">
      <alignment horizontal="left" vertical="top" wrapText="1"/>
    </xf>
    <xf numFmtId="0" fontId="20" fillId="0" borderId="11" xfId="0" applyFont="1" applyBorder="1" applyAlignment="1">
      <alignment horizontal="left" vertical="top" wrapText="1"/>
    </xf>
    <xf numFmtId="0" fontId="21" fillId="2" borderId="4" xfId="3" applyFont="1" applyFill="1" applyBorder="1" applyAlignment="1">
      <alignment wrapText="1"/>
    </xf>
    <xf numFmtId="0" fontId="0" fillId="0" borderId="4" xfId="0" applyBorder="1" applyAlignment="1">
      <alignment wrapText="1"/>
    </xf>
    <xf numFmtId="173" fontId="20" fillId="0" borderId="9" xfId="0" applyNumberFormat="1" applyFont="1" applyBorder="1" applyAlignment="1">
      <alignment horizontal="left" vertical="top" wrapText="1"/>
    </xf>
    <xf numFmtId="0" fontId="0" fillId="0" borderId="0" xfId="0" applyAlignment="1">
      <alignment horizontal="left" vertical="top" wrapText="1"/>
    </xf>
    <xf numFmtId="0" fontId="2" fillId="2" borderId="9" xfId="0" applyFont="1" applyFill="1" applyBorder="1" applyAlignment="1">
      <alignment wrapText="1"/>
    </xf>
    <xf numFmtId="0" fontId="0" fillId="0" borderId="11" xfId="0" applyBorder="1" applyAlignment="1">
      <alignment wrapText="1"/>
    </xf>
    <xf numFmtId="0" fontId="21" fillId="2" borderId="1" xfId="3" applyFont="1" applyFill="1" applyBorder="1" applyAlignment="1"/>
    <xf numFmtId="0" fontId="0" fillId="0" borderId="2" xfId="0" applyBorder="1"/>
    <xf numFmtId="173" fontId="20" fillId="2" borderId="10" xfId="0" applyNumberFormat="1" applyFont="1" applyFill="1" applyBorder="1" applyAlignment="1">
      <alignment horizontal="left" vertical="top" wrapText="1"/>
    </xf>
    <xf numFmtId="173" fontId="20" fillId="2" borderId="11" xfId="0" applyNumberFormat="1" applyFont="1" applyFill="1" applyBorder="1" applyAlignment="1">
      <alignment horizontal="left" vertical="top" wrapText="1"/>
    </xf>
    <xf numFmtId="0" fontId="20" fillId="0" borderId="9" xfId="0" applyFont="1" applyBorder="1" applyAlignment="1">
      <alignment vertical="top" wrapText="1"/>
    </xf>
    <xf numFmtId="0" fontId="20" fillId="0" borderId="10" xfId="0" applyFont="1" applyBorder="1" applyAlignment="1">
      <alignment vertical="top" wrapText="1"/>
    </xf>
    <xf numFmtId="0" fontId="20" fillId="0" borderId="11" xfId="0" applyFont="1" applyBorder="1" applyAlignment="1">
      <alignment vertical="top" wrapText="1"/>
    </xf>
    <xf numFmtId="0" fontId="0" fillId="0" borderId="3" xfId="0" applyBorder="1"/>
    <xf numFmtId="0" fontId="21" fillId="2" borderId="4" xfId="3" applyFont="1" applyFill="1" applyBorder="1" applyAlignment="1"/>
    <xf numFmtId="0" fontId="0" fillId="0" borderId="0" xfId="0"/>
    <xf numFmtId="0" fontId="0" fillId="0" borderId="5" xfId="0" applyBorder="1"/>
    <xf numFmtId="0" fontId="2" fillId="2" borderId="27" xfId="0" applyFont="1" applyFill="1" applyBorder="1" applyAlignment="1">
      <alignment vertical="center" wrapText="1"/>
    </xf>
    <xf numFmtId="0" fontId="2" fillId="0" borderId="28" xfId="0" applyFont="1" applyBorder="1" applyAlignment="1">
      <alignment vertical="center" wrapText="1"/>
    </xf>
    <xf numFmtId="0" fontId="0" fillId="0" borderId="31" xfId="0" applyBorder="1"/>
    <xf numFmtId="0" fontId="0" fillId="2" borderId="9" xfId="0" applyFill="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2" fillId="0" borderId="31" xfId="0" applyFont="1" applyBorder="1" applyAlignment="1">
      <alignment vertical="center" wrapText="1"/>
    </xf>
    <xf numFmtId="0" fontId="0" fillId="2" borderId="0" xfId="0" applyFill="1" applyAlignment="1">
      <alignment vertical="center" wrapText="1"/>
    </xf>
    <xf numFmtId="0" fontId="0" fillId="0" borderId="0" xfId="0" applyAlignment="1">
      <alignment vertical="center" wrapText="1"/>
    </xf>
    <xf numFmtId="0" fontId="21" fillId="0" borderId="0" xfId="3" applyFont="1" applyBorder="1" applyAlignment="1">
      <alignment wrapText="1"/>
    </xf>
    <xf numFmtId="0" fontId="20" fillId="2" borderId="9" xfId="0" applyFont="1" applyFill="1" applyBorder="1" applyAlignment="1">
      <alignment vertical="top" wrapText="1"/>
    </xf>
    <xf numFmtId="0" fontId="20" fillId="2" borderId="10" xfId="0" applyFont="1" applyFill="1" applyBorder="1" applyAlignment="1">
      <alignment vertical="top" wrapText="1"/>
    </xf>
    <xf numFmtId="0" fontId="20" fillId="2" borderId="11" xfId="0" applyFont="1" applyFill="1" applyBorder="1" applyAlignment="1">
      <alignment vertical="top" wrapText="1"/>
    </xf>
    <xf numFmtId="0" fontId="0" fillId="2" borderId="6" xfId="0" applyFill="1"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2" borderId="9" xfId="0"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2" fillId="2" borderId="9" xfId="0" applyFont="1" applyFill="1" applyBorder="1" applyAlignment="1">
      <alignment horizontal="center" vertical="center" wrapText="1"/>
    </xf>
    <xf numFmtId="0" fontId="0" fillId="0" borderId="9" xfId="0" applyBorder="1" applyAlignment="1">
      <alignment vertical="center" wrapText="1"/>
    </xf>
    <xf numFmtId="0" fontId="2" fillId="2" borderId="10" xfId="0" applyFont="1" applyFill="1" applyBorder="1" applyAlignment="1">
      <alignment wrapText="1"/>
    </xf>
    <xf numFmtId="0" fontId="2" fillId="0" borderId="10" xfId="0" applyFont="1" applyBorder="1" applyAlignment="1">
      <alignment wrapText="1"/>
    </xf>
    <xf numFmtId="0" fontId="0" fillId="2" borderId="0" xfId="0" applyFill="1" applyAlignment="1">
      <alignment wrapText="1"/>
    </xf>
    <xf numFmtId="0" fontId="2" fillId="2" borderId="27" xfId="0" applyFont="1" applyFill="1" applyBorder="1" applyAlignment="1">
      <alignment wrapText="1"/>
    </xf>
    <xf numFmtId="175" fontId="2" fillId="2" borderId="10" xfId="0" applyNumberFormat="1" applyFont="1" applyFill="1" applyBorder="1" applyAlignment="1">
      <alignment wrapText="1"/>
    </xf>
    <xf numFmtId="0" fontId="20" fillId="2" borderId="9" xfId="0" applyFont="1" applyFill="1" applyBorder="1" applyAlignment="1">
      <alignment vertical="center" wrapText="1"/>
    </xf>
    <xf numFmtId="0" fontId="20" fillId="2" borderId="10" xfId="0" applyFont="1" applyFill="1" applyBorder="1" applyAlignment="1">
      <alignment vertical="center" wrapText="1"/>
    </xf>
    <xf numFmtId="0" fontId="20" fillId="2" borderId="11" xfId="0" applyFont="1" applyFill="1" applyBorder="1" applyAlignment="1">
      <alignment vertical="center" wrapText="1"/>
    </xf>
    <xf numFmtId="0" fontId="20" fillId="2" borderId="0" xfId="0" applyFont="1" applyFill="1" applyAlignment="1">
      <alignment horizontal="left" vertical="top" wrapText="1"/>
    </xf>
    <xf numFmtId="0" fontId="4" fillId="2" borderId="0" xfId="0" applyFont="1" applyFill="1" applyAlignment="1">
      <alignment vertical="top" wrapText="1"/>
    </xf>
    <xf numFmtId="0" fontId="0" fillId="2" borderId="27" xfId="0" applyFill="1" applyBorder="1" applyAlignment="1">
      <alignment vertical="center" wrapText="1"/>
    </xf>
    <xf numFmtId="0" fontId="0" fillId="0" borderId="28" xfId="0" applyBorder="1" applyAlignment="1">
      <alignment vertical="center" wrapText="1"/>
    </xf>
    <xf numFmtId="0" fontId="0" fillId="0" borderId="31" xfId="0" applyBorder="1" applyAlignment="1">
      <alignment vertical="center" wrapText="1"/>
    </xf>
    <xf numFmtId="0" fontId="0" fillId="2" borderId="0" xfId="0" applyFill="1" applyAlignment="1">
      <alignment vertical="top" wrapText="1"/>
    </xf>
    <xf numFmtId="0" fontId="0" fillId="0" borderId="0" xfId="0" applyAlignment="1">
      <alignment vertical="top" wrapText="1"/>
    </xf>
    <xf numFmtId="0" fontId="20" fillId="2" borderId="0" xfId="0" applyFont="1" applyFill="1" applyAlignment="1">
      <alignment vertical="top" wrapText="1"/>
    </xf>
    <xf numFmtId="0" fontId="2" fillId="2" borderId="27" xfId="0" applyFont="1" applyFill="1" applyBorder="1" applyAlignment="1">
      <alignment horizontal="center" wrapText="1"/>
    </xf>
    <xf numFmtId="0" fontId="0" fillId="0" borderId="31" xfId="0" applyBorder="1" applyAlignment="1">
      <alignment horizontal="center"/>
    </xf>
    <xf numFmtId="0" fontId="0" fillId="2" borderId="9" xfId="0"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2" borderId="27" xfId="0" applyFill="1" applyBorder="1" applyAlignment="1">
      <alignment vertical="center"/>
    </xf>
    <xf numFmtId="0" fontId="0" fillId="0" borderId="31" xfId="0" applyBorder="1" applyAlignment="1">
      <alignment vertical="center"/>
    </xf>
    <xf numFmtId="0" fontId="2" fillId="2" borderId="0" xfId="0" applyFont="1" applyFill="1" applyAlignment="1">
      <alignment vertical="center" wrapText="1"/>
    </xf>
    <xf numFmtId="0" fontId="48" fillId="0" borderId="0" xfId="0" applyFont="1" applyAlignment="1">
      <alignment horizontal="left" vertical="top" wrapText="1"/>
    </xf>
    <xf numFmtId="0" fontId="21" fillId="0" borderId="2" xfId="3" applyFont="1" applyBorder="1" applyAlignment="1"/>
    <xf numFmtId="0" fontId="21" fillId="0" borderId="3" xfId="3" applyFont="1" applyBorder="1" applyAlignment="1"/>
    <xf numFmtId="0" fontId="0" fillId="0" borderId="28" xfId="0" applyBorder="1" applyAlignment="1">
      <alignment vertical="center"/>
    </xf>
    <xf numFmtId="0" fontId="0" fillId="3" borderId="7" xfId="0" applyFill="1" applyBorder="1" applyAlignment="1">
      <alignment wrapText="1"/>
    </xf>
    <xf numFmtId="0" fontId="0" fillId="3" borderId="8" xfId="0" applyFill="1" applyBorder="1" applyAlignment="1">
      <alignment wrapText="1"/>
    </xf>
    <xf numFmtId="0" fontId="2" fillId="2" borderId="9" xfId="0" applyFont="1" applyFill="1" applyBorder="1"/>
    <xf numFmtId="0" fontId="2" fillId="0" borderId="10" xfId="0" applyFont="1" applyBorder="1"/>
    <xf numFmtId="0" fontId="21" fillId="2" borderId="2" xfId="3" applyFont="1" applyFill="1" applyBorder="1" applyAlignment="1"/>
    <xf numFmtId="0" fontId="21" fillId="2" borderId="3" xfId="3" applyFont="1" applyFill="1" applyBorder="1" applyAlignment="1"/>
    <xf numFmtId="0" fontId="2" fillId="2" borderId="10" xfId="0" applyFont="1" applyFill="1" applyBorder="1"/>
    <xf numFmtId="0" fontId="0" fillId="2" borderId="5" xfId="0" applyFill="1" applyBorder="1" applyAlignment="1">
      <alignment vertical="center" wrapText="1"/>
    </xf>
    <xf numFmtId="0" fontId="0" fillId="3" borderId="5" xfId="0" applyFill="1" applyBorder="1" applyAlignment="1">
      <alignment vertical="center" wrapText="1"/>
    </xf>
    <xf numFmtId="0" fontId="0" fillId="3" borderId="7" xfId="0" applyFill="1" applyBorder="1" applyAlignment="1">
      <alignment vertical="center" wrapText="1"/>
    </xf>
    <xf numFmtId="0" fontId="0" fillId="3" borderId="8" xfId="0" applyFill="1" applyBorder="1" applyAlignment="1">
      <alignment vertical="center" wrapText="1"/>
    </xf>
    <xf numFmtId="0" fontId="0" fillId="2" borderId="5" xfId="0" applyFill="1" applyBorder="1" applyAlignment="1">
      <alignment wrapText="1"/>
    </xf>
    <xf numFmtId="0" fontId="43" fillId="2" borderId="9" xfId="0" applyFont="1" applyFill="1" applyBorder="1" applyAlignment="1">
      <alignment vertical="top" wrapText="1"/>
    </xf>
    <xf numFmtId="0" fontId="20" fillId="0" borderId="10" xfId="0" applyFont="1" applyBorder="1"/>
    <xf numFmtId="0" fontId="20" fillId="0" borderId="11" xfId="0" applyFont="1" applyBorder="1"/>
  </cellXfs>
  <cellStyles count="8">
    <cellStyle name="Comma" xfId="6" builtinId="3"/>
    <cellStyle name="Comma 10" xfId="1" xr:uid="{CE8A2F4B-794A-4DF1-848C-4B62D5295ED3}"/>
    <cellStyle name="Hyperlink" xfId="3" builtinId="8"/>
    <cellStyle name="Hyperlink 2" xfId="5" xr:uid="{DFD95D0D-8999-4663-8F2B-662B7BA14CAE}"/>
    <cellStyle name="Normal" xfId="0" builtinId="0"/>
    <cellStyle name="Normal 2" xfId="4" xr:uid="{421AFA1A-09F5-45E0-9E22-18FAE32BE5E8}"/>
    <cellStyle name="Percent" xfId="2" builtinId="5"/>
    <cellStyle name="Summary Row Name TM1 - IBM Cognos" xfId="7" xr:uid="{998930CC-F0BC-4D0C-B211-6FD1FEB2DF99}"/>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257175</xdr:colOff>
      <xdr:row>3</xdr:row>
      <xdr:rowOff>9525</xdr:rowOff>
    </xdr:from>
    <xdr:to>
      <xdr:col>7</xdr:col>
      <xdr:colOff>209550</xdr:colOff>
      <xdr:row>5</xdr:row>
      <xdr:rowOff>94230</xdr:rowOff>
    </xdr:to>
    <xdr:pic>
      <xdr:nvPicPr>
        <xdr:cNvPr id="5" name="Picture 4" descr="TPR Logo L RGB">
          <a:extLst>
            <a:ext uri="{FF2B5EF4-FFF2-40B4-BE49-F238E27FC236}">
              <a16:creationId xmlns:a16="http://schemas.microsoft.com/office/drawing/2014/main" id="{9A9C8C19-E070-4386-BA68-56ABD85AED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875" y="552450"/>
          <a:ext cx="3838575" cy="44665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201083</xdr:colOff>
      <xdr:row>30</xdr:row>
      <xdr:rowOff>285749</xdr:rowOff>
    </xdr:from>
    <xdr:to>
      <xdr:col>8</xdr:col>
      <xdr:colOff>543343</xdr:colOff>
      <xdr:row>31</xdr:row>
      <xdr:rowOff>108828</xdr:rowOff>
    </xdr:to>
    <xdr:pic>
      <xdr:nvPicPr>
        <xdr:cNvPr id="2" name="Picture 1">
          <a:extLst>
            <a:ext uri="{FF2B5EF4-FFF2-40B4-BE49-F238E27FC236}">
              <a16:creationId xmlns:a16="http://schemas.microsoft.com/office/drawing/2014/main" id="{ED00FF1D-55BB-4AAF-B0B8-8FE30BD5EF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37166" y="9101666"/>
          <a:ext cx="342260" cy="2887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190500</xdr:colOff>
      <xdr:row>29</xdr:row>
      <xdr:rowOff>165100</xdr:rowOff>
    </xdr:from>
    <xdr:to>
      <xdr:col>16</xdr:col>
      <xdr:colOff>532760</xdr:colOff>
      <xdr:row>30</xdr:row>
      <xdr:rowOff>123645</xdr:rowOff>
    </xdr:to>
    <xdr:pic>
      <xdr:nvPicPr>
        <xdr:cNvPr id="2" name="Picture 1">
          <a:extLst>
            <a:ext uri="{FF2B5EF4-FFF2-40B4-BE49-F238E27FC236}">
              <a16:creationId xmlns:a16="http://schemas.microsoft.com/office/drawing/2014/main" id="{44B0F477-8E33-4B86-BD3D-F0D573AAB7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02200" y="8204200"/>
          <a:ext cx="342260" cy="28874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228600</xdr:colOff>
      <xdr:row>48</xdr:row>
      <xdr:rowOff>142875</xdr:rowOff>
    </xdr:from>
    <xdr:to>
      <xdr:col>9</xdr:col>
      <xdr:colOff>570860</xdr:colOff>
      <xdr:row>49</xdr:row>
      <xdr:rowOff>145870</xdr:rowOff>
    </xdr:to>
    <xdr:pic>
      <xdr:nvPicPr>
        <xdr:cNvPr id="2" name="Picture 1">
          <a:extLst>
            <a:ext uri="{FF2B5EF4-FFF2-40B4-BE49-F238E27FC236}">
              <a16:creationId xmlns:a16="http://schemas.microsoft.com/office/drawing/2014/main" id="{DDE1E56F-C93A-4964-B655-4CACA37A1B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67825" y="16421100"/>
          <a:ext cx="342260" cy="28874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342900</xdr:colOff>
      <xdr:row>39</xdr:row>
      <xdr:rowOff>1504950</xdr:rowOff>
    </xdr:from>
    <xdr:to>
      <xdr:col>7</xdr:col>
      <xdr:colOff>685160</xdr:colOff>
      <xdr:row>40</xdr:row>
      <xdr:rowOff>155395</xdr:rowOff>
    </xdr:to>
    <xdr:pic>
      <xdr:nvPicPr>
        <xdr:cNvPr id="2" name="Picture 1">
          <a:extLst>
            <a:ext uri="{FF2B5EF4-FFF2-40B4-BE49-F238E27FC236}">
              <a16:creationId xmlns:a16="http://schemas.microsoft.com/office/drawing/2014/main" id="{8CC0BA69-F718-4B7B-985D-FD549905EC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875" y="9344025"/>
          <a:ext cx="342260" cy="28874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228600</xdr:colOff>
      <xdr:row>21</xdr:row>
      <xdr:rowOff>66675</xdr:rowOff>
    </xdr:from>
    <xdr:to>
      <xdr:col>7</xdr:col>
      <xdr:colOff>570860</xdr:colOff>
      <xdr:row>22</xdr:row>
      <xdr:rowOff>164920</xdr:rowOff>
    </xdr:to>
    <xdr:pic>
      <xdr:nvPicPr>
        <xdr:cNvPr id="2" name="Picture 1">
          <a:extLst>
            <a:ext uri="{FF2B5EF4-FFF2-40B4-BE49-F238E27FC236}">
              <a16:creationId xmlns:a16="http://schemas.microsoft.com/office/drawing/2014/main" id="{DFAE906C-5BA2-4FC6-A1DD-100C6F09A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6050" y="4476750"/>
          <a:ext cx="342260" cy="28874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13</xdr:col>
      <xdr:colOff>190500</xdr:colOff>
      <xdr:row>54</xdr:row>
      <xdr:rowOff>762000</xdr:rowOff>
    </xdr:from>
    <xdr:to>
      <xdr:col>13</xdr:col>
      <xdr:colOff>532760</xdr:colOff>
      <xdr:row>55</xdr:row>
      <xdr:rowOff>109451</xdr:rowOff>
    </xdr:to>
    <xdr:pic>
      <xdr:nvPicPr>
        <xdr:cNvPr id="2" name="Picture 1">
          <a:extLst>
            <a:ext uri="{FF2B5EF4-FFF2-40B4-BE49-F238E27FC236}">
              <a16:creationId xmlns:a16="http://schemas.microsoft.com/office/drawing/2014/main" id="{9C237FBC-8511-4814-A88F-AD5948A555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72765" y="13166912"/>
          <a:ext cx="342260" cy="28874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190500</xdr:colOff>
      <xdr:row>36</xdr:row>
      <xdr:rowOff>1343025</xdr:rowOff>
    </xdr:from>
    <xdr:to>
      <xdr:col>7</xdr:col>
      <xdr:colOff>532760</xdr:colOff>
      <xdr:row>37</xdr:row>
      <xdr:rowOff>136345</xdr:rowOff>
    </xdr:to>
    <xdr:pic>
      <xdr:nvPicPr>
        <xdr:cNvPr id="2" name="Picture 1">
          <a:extLst>
            <a:ext uri="{FF2B5EF4-FFF2-40B4-BE49-F238E27FC236}">
              <a16:creationId xmlns:a16="http://schemas.microsoft.com/office/drawing/2014/main" id="{6E4918A9-4C36-429E-8FFF-AC5DCF3537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0400" y="8496300"/>
          <a:ext cx="342260" cy="28874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170597</xdr:colOff>
      <xdr:row>22</xdr:row>
      <xdr:rowOff>0</xdr:rowOff>
    </xdr:from>
    <xdr:to>
      <xdr:col>11</xdr:col>
      <xdr:colOff>512857</xdr:colOff>
      <xdr:row>23</xdr:row>
      <xdr:rowOff>103931</xdr:rowOff>
    </xdr:to>
    <xdr:pic>
      <xdr:nvPicPr>
        <xdr:cNvPr id="2" name="Picture 1">
          <a:extLst>
            <a:ext uri="{FF2B5EF4-FFF2-40B4-BE49-F238E27FC236}">
              <a16:creationId xmlns:a16="http://schemas.microsoft.com/office/drawing/2014/main" id="{6E0EE050-70F1-4ABF-BC9F-5B28316F3E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63582" y="8472985"/>
          <a:ext cx="342260" cy="28874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201706</xdr:colOff>
      <xdr:row>37</xdr:row>
      <xdr:rowOff>33618</xdr:rowOff>
    </xdr:from>
    <xdr:to>
      <xdr:col>9</xdr:col>
      <xdr:colOff>543966</xdr:colOff>
      <xdr:row>38</xdr:row>
      <xdr:rowOff>131863</xdr:rowOff>
    </xdr:to>
    <xdr:pic>
      <xdr:nvPicPr>
        <xdr:cNvPr id="2" name="Picture 1">
          <a:extLst>
            <a:ext uri="{FF2B5EF4-FFF2-40B4-BE49-F238E27FC236}">
              <a16:creationId xmlns:a16="http://schemas.microsoft.com/office/drawing/2014/main" id="{E34A138D-D213-4757-901F-6F2DDE6769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83235" y="10858500"/>
          <a:ext cx="342260" cy="28874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200025</xdr:colOff>
      <xdr:row>16</xdr:row>
      <xdr:rowOff>152400</xdr:rowOff>
    </xdr:from>
    <xdr:to>
      <xdr:col>9</xdr:col>
      <xdr:colOff>542285</xdr:colOff>
      <xdr:row>17</xdr:row>
      <xdr:rowOff>145870</xdr:rowOff>
    </xdr:to>
    <xdr:pic>
      <xdr:nvPicPr>
        <xdr:cNvPr id="2" name="Picture 1">
          <a:extLst>
            <a:ext uri="{FF2B5EF4-FFF2-40B4-BE49-F238E27FC236}">
              <a16:creationId xmlns:a16="http://schemas.microsoft.com/office/drawing/2014/main" id="{87CCC346-A92D-4378-8F0F-8FD0A44D69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00" y="4714875"/>
          <a:ext cx="342260" cy="2887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22413</xdr:colOff>
      <xdr:row>28</xdr:row>
      <xdr:rowOff>425825</xdr:rowOff>
    </xdr:from>
    <xdr:to>
      <xdr:col>11</xdr:col>
      <xdr:colOff>661148</xdr:colOff>
      <xdr:row>53</xdr:row>
      <xdr:rowOff>179772</xdr:rowOff>
    </xdr:to>
    <xdr:pic>
      <xdr:nvPicPr>
        <xdr:cNvPr id="2" name="Picture 1">
          <a:extLst>
            <a:ext uri="{FF2B5EF4-FFF2-40B4-BE49-F238E27FC236}">
              <a16:creationId xmlns:a16="http://schemas.microsoft.com/office/drawing/2014/main" id="{E674F99E-57B3-8D52-7562-2D47A675C230}"/>
            </a:ext>
          </a:extLst>
        </xdr:cNvPr>
        <xdr:cNvPicPr>
          <a:picLocks noChangeAspect="1"/>
        </xdr:cNvPicPr>
      </xdr:nvPicPr>
      <xdr:blipFill>
        <a:blip xmlns:r="http://schemas.openxmlformats.org/officeDocument/2006/relationships" r:embed="rId1"/>
        <a:stretch>
          <a:fillRect/>
        </a:stretch>
      </xdr:blipFill>
      <xdr:spPr>
        <a:xfrm>
          <a:off x="627531" y="6902825"/>
          <a:ext cx="8706970" cy="5222418"/>
        </a:xfrm>
        <a:prstGeom prst="rect">
          <a:avLst/>
        </a:prstGeom>
      </xdr:spPr>
    </xdr:pic>
    <xdr:clientData/>
  </xdr:twoCellAnchor>
  <xdr:twoCellAnchor editAs="oneCell">
    <xdr:from>
      <xdr:col>11</xdr:col>
      <xdr:colOff>328448</xdr:colOff>
      <xdr:row>25</xdr:row>
      <xdr:rowOff>27608</xdr:rowOff>
    </xdr:from>
    <xdr:to>
      <xdr:col>11</xdr:col>
      <xdr:colOff>670708</xdr:colOff>
      <xdr:row>26</xdr:row>
      <xdr:rowOff>130232</xdr:rowOff>
    </xdr:to>
    <xdr:pic>
      <xdr:nvPicPr>
        <xdr:cNvPr id="3" name="Picture 2">
          <a:extLst>
            <a:ext uri="{FF2B5EF4-FFF2-40B4-BE49-F238E27FC236}">
              <a16:creationId xmlns:a16="http://schemas.microsoft.com/office/drawing/2014/main" id="{9B0FC1CC-A97D-4CBD-BB6A-2159BD31D8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32327" y="5841142"/>
          <a:ext cx="342260" cy="28874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10</xdr:col>
      <xdr:colOff>219075</xdr:colOff>
      <xdr:row>32</xdr:row>
      <xdr:rowOff>28575</xdr:rowOff>
    </xdr:from>
    <xdr:to>
      <xdr:col>10</xdr:col>
      <xdr:colOff>561335</xdr:colOff>
      <xdr:row>33</xdr:row>
      <xdr:rowOff>126820</xdr:rowOff>
    </xdr:to>
    <xdr:pic>
      <xdr:nvPicPr>
        <xdr:cNvPr id="2" name="Picture 1">
          <a:extLst>
            <a:ext uri="{FF2B5EF4-FFF2-40B4-BE49-F238E27FC236}">
              <a16:creationId xmlns:a16="http://schemas.microsoft.com/office/drawing/2014/main" id="{493CB40D-9FD1-491B-B7CB-9221D63A8F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77375" y="8162925"/>
          <a:ext cx="342260" cy="28874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13</xdr:col>
      <xdr:colOff>257735</xdr:colOff>
      <xdr:row>35</xdr:row>
      <xdr:rowOff>291353</xdr:rowOff>
    </xdr:from>
    <xdr:to>
      <xdr:col>13</xdr:col>
      <xdr:colOff>599995</xdr:colOff>
      <xdr:row>36</xdr:row>
      <xdr:rowOff>120657</xdr:rowOff>
    </xdr:to>
    <xdr:pic>
      <xdr:nvPicPr>
        <xdr:cNvPr id="2" name="Picture 1">
          <a:extLst>
            <a:ext uri="{FF2B5EF4-FFF2-40B4-BE49-F238E27FC236}">
              <a16:creationId xmlns:a16="http://schemas.microsoft.com/office/drawing/2014/main" id="{6C99BF2E-5EF2-4428-93D0-6AC014CC75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3676" y="9569824"/>
          <a:ext cx="342260" cy="28874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10</xdr:col>
      <xdr:colOff>190500</xdr:colOff>
      <xdr:row>85</xdr:row>
      <xdr:rowOff>235323</xdr:rowOff>
    </xdr:from>
    <xdr:to>
      <xdr:col>10</xdr:col>
      <xdr:colOff>532760</xdr:colOff>
      <xdr:row>86</xdr:row>
      <xdr:rowOff>143068</xdr:rowOff>
    </xdr:to>
    <xdr:pic>
      <xdr:nvPicPr>
        <xdr:cNvPr id="2" name="Picture 1">
          <a:extLst>
            <a:ext uri="{FF2B5EF4-FFF2-40B4-BE49-F238E27FC236}">
              <a16:creationId xmlns:a16="http://schemas.microsoft.com/office/drawing/2014/main" id="{EA09CC5C-FB29-42C8-9038-531A9403CB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58382" y="16461441"/>
          <a:ext cx="342260" cy="28874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8</xdr:col>
      <xdr:colOff>200025</xdr:colOff>
      <xdr:row>26</xdr:row>
      <xdr:rowOff>476250</xdr:rowOff>
    </xdr:from>
    <xdr:to>
      <xdr:col>8</xdr:col>
      <xdr:colOff>542285</xdr:colOff>
      <xdr:row>27</xdr:row>
      <xdr:rowOff>145870</xdr:rowOff>
    </xdr:to>
    <xdr:pic>
      <xdr:nvPicPr>
        <xdr:cNvPr id="2" name="Picture 1">
          <a:extLst>
            <a:ext uri="{FF2B5EF4-FFF2-40B4-BE49-F238E27FC236}">
              <a16:creationId xmlns:a16="http://schemas.microsoft.com/office/drawing/2014/main" id="{626C7EA9-FF65-4906-B41E-2F57BF27A4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87675" y="9829800"/>
          <a:ext cx="342260" cy="28874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8</xdr:col>
      <xdr:colOff>209550</xdr:colOff>
      <xdr:row>32</xdr:row>
      <xdr:rowOff>266700</xdr:rowOff>
    </xdr:from>
    <xdr:to>
      <xdr:col>8</xdr:col>
      <xdr:colOff>551810</xdr:colOff>
      <xdr:row>33</xdr:row>
      <xdr:rowOff>164920</xdr:rowOff>
    </xdr:to>
    <xdr:pic>
      <xdr:nvPicPr>
        <xdr:cNvPr id="2" name="Picture 1">
          <a:extLst>
            <a:ext uri="{FF2B5EF4-FFF2-40B4-BE49-F238E27FC236}">
              <a16:creationId xmlns:a16="http://schemas.microsoft.com/office/drawing/2014/main" id="{191B7D85-B196-49FD-94FA-20159AEA8A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0875" y="13477875"/>
          <a:ext cx="342260" cy="28874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3</xdr:col>
      <xdr:colOff>2454460</xdr:colOff>
      <xdr:row>1</xdr:row>
      <xdr:rowOff>7004</xdr:rowOff>
    </xdr:from>
    <xdr:to>
      <xdr:col>14</xdr:col>
      <xdr:colOff>190500</xdr:colOff>
      <xdr:row>3</xdr:row>
      <xdr:rowOff>166687</xdr:rowOff>
    </xdr:to>
    <xdr:sp macro="" textlink="">
      <xdr:nvSpPr>
        <xdr:cNvPr id="2" name="TextBox 1">
          <a:extLst>
            <a:ext uri="{FF2B5EF4-FFF2-40B4-BE49-F238E27FC236}">
              <a16:creationId xmlns:a16="http://schemas.microsoft.com/office/drawing/2014/main" id="{2C8BA8E3-0F04-4E05-9B5D-0997A90919C9}"/>
            </a:ext>
          </a:extLst>
        </xdr:cNvPr>
        <xdr:cNvSpPr txBox="1"/>
      </xdr:nvSpPr>
      <xdr:spPr>
        <a:xfrm>
          <a:off x="4954773" y="197504"/>
          <a:ext cx="9177946" cy="58830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400" b="1">
              <a:solidFill>
                <a:schemeClr val="bg1"/>
              </a:solidFill>
            </a:rPr>
            <a:t>This is an alternative</a:t>
          </a:r>
          <a:r>
            <a:rPr lang="en-NZ" sz="1400" b="1" baseline="0">
              <a:solidFill>
                <a:schemeClr val="bg1"/>
              </a:solidFill>
            </a:rPr>
            <a:t> schedule (to Schedule 2) that excludes excetpional events from Transpower's performance against AP2 (see commentary below for more information). It does not form part of the Annual Compliance Statement.</a:t>
          </a:r>
          <a:endParaRPr lang="en-NZ" sz="1400" b="1">
            <a:solidFill>
              <a:schemeClr val="bg1"/>
            </a:solidFill>
          </a:endParaRPr>
        </a:p>
      </xdr:txBody>
    </xdr:sp>
    <xdr:clientData/>
  </xdr:twoCellAnchor>
  <xdr:twoCellAnchor editAs="oneCell">
    <xdr:from>
      <xdr:col>32</xdr:col>
      <xdr:colOff>452438</xdr:colOff>
      <xdr:row>51</xdr:row>
      <xdr:rowOff>35718</xdr:rowOff>
    </xdr:from>
    <xdr:to>
      <xdr:col>32</xdr:col>
      <xdr:colOff>794698</xdr:colOff>
      <xdr:row>52</xdr:row>
      <xdr:rowOff>122056</xdr:rowOff>
    </xdr:to>
    <xdr:pic>
      <xdr:nvPicPr>
        <xdr:cNvPr id="3" name="Picture 2">
          <a:extLst>
            <a:ext uri="{FF2B5EF4-FFF2-40B4-BE49-F238E27FC236}">
              <a16:creationId xmlns:a16="http://schemas.microsoft.com/office/drawing/2014/main" id="{14671F28-EB9A-4A39-8FA7-76E970DDB1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82344" y="17049749"/>
          <a:ext cx="342260" cy="2887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32</xdr:col>
      <xdr:colOff>408210</xdr:colOff>
      <xdr:row>51</xdr:row>
      <xdr:rowOff>149677</xdr:rowOff>
    </xdr:from>
    <xdr:to>
      <xdr:col>32</xdr:col>
      <xdr:colOff>750470</xdr:colOff>
      <xdr:row>52</xdr:row>
      <xdr:rowOff>43816</xdr:rowOff>
    </xdr:to>
    <xdr:pic>
      <xdr:nvPicPr>
        <xdr:cNvPr id="2" name="Picture 1">
          <a:extLst>
            <a:ext uri="{FF2B5EF4-FFF2-40B4-BE49-F238E27FC236}">
              <a16:creationId xmlns:a16="http://schemas.microsoft.com/office/drawing/2014/main" id="{ABD19D86-C52E-4042-A9C7-33902AC8FD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8996" y="19825606"/>
          <a:ext cx="342260" cy="2887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11206</xdr:colOff>
      <xdr:row>4</xdr:row>
      <xdr:rowOff>0</xdr:rowOff>
    </xdr:from>
    <xdr:to>
      <xdr:col>2</xdr:col>
      <xdr:colOff>1971194</xdr:colOff>
      <xdr:row>40</xdr:row>
      <xdr:rowOff>43604</xdr:rowOff>
    </xdr:to>
    <xdr:pic>
      <xdr:nvPicPr>
        <xdr:cNvPr id="2" name="Picture 1">
          <a:extLst>
            <a:ext uri="{FF2B5EF4-FFF2-40B4-BE49-F238E27FC236}">
              <a16:creationId xmlns:a16="http://schemas.microsoft.com/office/drawing/2014/main" id="{A9713825-D156-B8BB-6A0F-24A1B62DC39C}"/>
            </a:ext>
          </a:extLst>
        </xdr:cNvPr>
        <xdr:cNvPicPr>
          <a:picLocks noChangeAspect="1"/>
        </xdr:cNvPicPr>
      </xdr:nvPicPr>
      <xdr:blipFill>
        <a:blip xmlns:r="http://schemas.openxmlformats.org/officeDocument/2006/relationships" r:embed="rId1"/>
        <a:stretch>
          <a:fillRect/>
        </a:stretch>
      </xdr:blipFill>
      <xdr:spPr>
        <a:xfrm>
          <a:off x="616324" y="806824"/>
          <a:ext cx="4582164" cy="7316221"/>
        </a:xfrm>
        <a:prstGeom prst="rect">
          <a:avLst/>
        </a:prstGeom>
      </xdr:spPr>
    </xdr:pic>
    <xdr:clientData/>
  </xdr:twoCellAnchor>
  <xdr:twoCellAnchor editAs="oneCell">
    <xdr:from>
      <xdr:col>2</xdr:col>
      <xdr:colOff>1961030</xdr:colOff>
      <xdr:row>3</xdr:row>
      <xdr:rowOff>134470</xdr:rowOff>
    </xdr:from>
    <xdr:to>
      <xdr:col>9</xdr:col>
      <xdr:colOff>385576</xdr:colOff>
      <xdr:row>39</xdr:row>
      <xdr:rowOff>187600</xdr:rowOff>
    </xdr:to>
    <xdr:pic>
      <xdr:nvPicPr>
        <xdr:cNvPr id="6" name="Picture 5">
          <a:extLst>
            <a:ext uri="{FF2B5EF4-FFF2-40B4-BE49-F238E27FC236}">
              <a16:creationId xmlns:a16="http://schemas.microsoft.com/office/drawing/2014/main" id="{0334FB6C-51BA-3228-4C3D-F2927BB81E1C}"/>
            </a:ext>
          </a:extLst>
        </xdr:cNvPr>
        <xdr:cNvPicPr>
          <a:picLocks noChangeAspect="1"/>
        </xdr:cNvPicPr>
      </xdr:nvPicPr>
      <xdr:blipFill>
        <a:blip xmlns:r="http://schemas.openxmlformats.org/officeDocument/2006/relationships" r:embed="rId2"/>
        <a:stretch>
          <a:fillRect/>
        </a:stretch>
      </xdr:blipFill>
      <xdr:spPr>
        <a:xfrm>
          <a:off x="5188324" y="750794"/>
          <a:ext cx="4677428" cy="7325747"/>
        </a:xfrm>
        <a:prstGeom prst="rect">
          <a:avLst/>
        </a:prstGeom>
      </xdr:spPr>
    </xdr:pic>
    <xdr:clientData/>
  </xdr:twoCellAnchor>
  <xdr:twoCellAnchor editAs="oneCell">
    <xdr:from>
      <xdr:col>9</xdr:col>
      <xdr:colOff>324971</xdr:colOff>
      <xdr:row>4</xdr:row>
      <xdr:rowOff>145676</xdr:rowOff>
    </xdr:from>
    <xdr:to>
      <xdr:col>16</xdr:col>
      <xdr:colOff>204521</xdr:colOff>
      <xdr:row>35</xdr:row>
      <xdr:rowOff>27199</xdr:rowOff>
    </xdr:to>
    <xdr:pic>
      <xdr:nvPicPr>
        <xdr:cNvPr id="7" name="Picture 6">
          <a:extLst>
            <a:ext uri="{FF2B5EF4-FFF2-40B4-BE49-F238E27FC236}">
              <a16:creationId xmlns:a16="http://schemas.microsoft.com/office/drawing/2014/main" id="{D691A1FF-7AA9-2FF9-49ED-A0E58A6C28C1}"/>
            </a:ext>
          </a:extLst>
        </xdr:cNvPr>
        <xdr:cNvPicPr>
          <a:picLocks noChangeAspect="1"/>
        </xdr:cNvPicPr>
      </xdr:nvPicPr>
      <xdr:blipFill>
        <a:blip xmlns:r="http://schemas.openxmlformats.org/officeDocument/2006/relationships" r:embed="rId3"/>
        <a:stretch>
          <a:fillRect/>
        </a:stretch>
      </xdr:blipFill>
      <xdr:spPr>
        <a:xfrm>
          <a:off x="9805147" y="952500"/>
          <a:ext cx="4115374" cy="62016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2428875</xdr:colOff>
      <xdr:row>12</xdr:row>
      <xdr:rowOff>141287</xdr:rowOff>
    </xdr:from>
    <xdr:ext cx="65" cy="172227"/>
    <xdr:sp macro="" textlink="">
      <xdr:nvSpPr>
        <xdr:cNvPr id="2" name="TextBox 1">
          <a:extLst>
            <a:ext uri="{FF2B5EF4-FFF2-40B4-BE49-F238E27FC236}">
              <a16:creationId xmlns:a16="http://schemas.microsoft.com/office/drawing/2014/main" id="{1C7A0E38-ABF3-8314-241E-072D592ED556}"/>
            </a:ext>
          </a:extLst>
        </xdr:cNvPr>
        <xdr:cNvSpPr txBox="1"/>
      </xdr:nvSpPr>
      <xdr:spPr>
        <a:xfrm>
          <a:off x="8458200" y="274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NZ" sz="1100"/>
        </a:p>
      </xdr:txBody>
    </xdr:sp>
    <xdr:clientData/>
  </xdr:oneCellAnchor>
  <xdr:twoCellAnchor editAs="oneCell">
    <xdr:from>
      <xdr:col>12</xdr:col>
      <xdr:colOff>168088</xdr:colOff>
      <xdr:row>56</xdr:row>
      <xdr:rowOff>56028</xdr:rowOff>
    </xdr:from>
    <xdr:to>
      <xdr:col>12</xdr:col>
      <xdr:colOff>510348</xdr:colOff>
      <xdr:row>57</xdr:row>
      <xdr:rowOff>120656</xdr:rowOff>
    </xdr:to>
    <xdr:pic>
      <xdr:nvPicPr>
        <xdr:cNvPr id="4" name="Picture 3">
          <a:extLst>
            <a:ext uri="{FF2B5EF4-FFF2-40B4-BE49-F238E27FC236}">
              <a16:creationId xmlns:a16="http://schemas.microsoft.com/office/drawing/2014/main" id="{396C8EB7-8E4F-4FBC-93FE-2BF67F115F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90794" y="14096999"/>
          <a:ext cx="342260" cy="2887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27</xdr:col>
      <xdr:colOff>217714</xdr:colOff>
      <xdr:row>56</xdr:row>
      <xdr:rowOff>149678</xdr:rowOff>
    </xdr:from>
    <xdr:to>
      <xdr:col>27</xdr:col>
      <xdr:colOff>559974</xdr:colOff>
      <xdr:row>58</xdr:row>
      <xdr:rowOff>57423</xdr:rowOff>
    </xdr:to>
    <xdr:pic>
      <xdr:nvPicPr>
        <xdr:cNvPr id="2" name="Picture 1">
          <a:extLst>
            <a:ext uri="{FF2B5EF4-FFF2-40B4-BE49-F238E27FC236}">
              <a16:creationId xmlns:a16="http://schemas.microsoft.com/office/drawing/2014/main" id="{FDB86C7F-7FF6-4662-B412-60523AA8FF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00" y="12641035"/>
          <a:ext cx="342260" cy="2887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228600</xdr:colOff>
      <xdr:row>18</xdr:row>
      <xdr:rowOff>47625</xdr:rowOff>
    </xdr:from>
    <xdr:to>
      <xdr:col>8</xdr:col>
      <xdr:colOff>570860</xdr:colOff>
      <xdr:row>19</xdr:row>
      <xdr:rowOff>145870</xdr:rowOff>
    </xdr:to>
    <xdr:pic>
      <xdr:nvPicPr>
        <xdr:cNvPr id="2" name="Picture 1">
          <a:extLst>
            <a:ext uri="{FF2B5EF4-FFF2-40B4-BE49-F238E27FC236}">
              <a16:creationId xmlns:a16="http://schemas.microsoft.com/office/drawing/2014/main" id="{E693ED93-F05E-4D08-993E-17E37D0A53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2425" y="3571875"/>
          <a:ext cx="342260" cy="2887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201706</xdr:colOff>
      <xdr:row>18</xdr:row>
      <xdr:rowOff>649941</xdr:rowOff>
    </xdr:from>
    <xdr:to>
      <xdr:col>9</xdr:col>
      <xdr:colOff>543966</xdr:colOff>
      <xdr:row>19</xdr:row>
      <xdr:rowOff>143068</xdr:rowOff>
    </xdr:to>
    <xdr:pic>
      <xdr:nvPicPr>
        <xdr:cNvPr id="2" name="Picture 1">
          <a:extLst>
            <a:ext uri="{FF2B5EF4-FFF2-40B4-BE49-F238E27FC236}">
              <a16:creationId xmlns:a16="http://schemas.microsoft.com/office/drawing/2014/main" id="{E0115A3A-2911-4EF2-AC4E-FED03EDAAB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68618" y="5692588"/>
          <a:ext cx="342260" cy="2887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226219</xdr:colOff>
      <xdr:row>36</xdr:row>
      <xdr:rowOff>333375</xdr:rowOff>
    </xdr:from>
    <xdr:to>
      <xdr:col>11</xdr:col>
      <xdr:colOff>568479</xdr:colOff>
      <xdr:row>36</xdr:row>
      <xdr:rowOff>622120</xdr:rowOff>
    </xdr:to>
    <xdr:pic>
      <xdr:nvPicPr>
        <xdr:cNvPr id="2" name="Picture 1">
          <a:extLst>
            <a:ext uri="{FF2B5EF4-FFF2-40B4-BE49-F238E27FC236}">
              <a16:creationId xmlns:a16="http://schemas.microsoft.com/office/drawing/2014/main" id="{115F1A31-D242-4333-9F16-21E40FB73E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00" y="10703719"/>
          <a:ext cx="342260" cy="28874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https://static.transpower.co.nz/public/uncontrolled_docs/Revenue%20Model.xlsm?VersionId=gxfBt0isRt93uLyV4lqOSASZFxt0eqgh"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s://comcom.govt.nz/__data/assets/pdf_file/0033/88278/2018-NZCC-8-Transpower-capital-expenditure-input-methodology-amendments-determination-2018-25-May-2018.PDF"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https://comcom.govt.nz/__data/assets/pdf_file/0037/248995/Decision-and-reasons-on-TranspowerE28099s-Bombay-Otahuhu-Regional-major-capex-project-19-March-2021.pdf"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hyperlink" Target="https://comcom.govt.nz/__data/assets/pdf_file/0028/170398/Transpower-IPP-for-RCP3-Decisions-and-reasons-paper-29-August-2019.PDF"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3.bin"/><Relationship Id="rId1" Type="http://schemas.openxmlformats.org/officeDocument/2006/relationships/hyperlink" Target="https://comcom.govt.nz/__data/assets/pdf_file/0034/188782/Transpower-Individual-Price-Quality-Path-Determination-2019-2020-NZCC-19-14-November-2019.PDF"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324C6-4BDD-468F-AC55-6DBBC5426B22}">
  <sheetPr codeName="Sheet1">
    <pageSetUpPr fitToPage="1"/>
  </sheetPr>
  <dimension ref="B11:H20"/>
  <sheetViews>
    <sheetView showGridLines="0" tabSelected="1" showRuler="0" view="pageBreakPreview" topLeftCell="A10" zoomScaleNormal="100" zoomScaleSheetLayoutView="100" workbookViewId="0"/>
  </sheetViews>
  <sheetFormatPr defaultRowHeight="15"/>
  <sheetData>
    <row r="11" spans="2:8" ht="86.25" customHeight="1">
      <c r="B11" s="709" t="s">
        <v>0</v>
      </c>
      <c r="C11" s="709"/>
      <c r="D11" s="709"/>
      <c r="E11" s="709"/>
      <c r="F11" s="709"/>
      <c r="G11" s="709"/>
      <c r="H11" s="709"/>
    </row>
    <row r="12" spans="2:8">
      <c r="B12" s="1"/>
      <c r="C12" s="1"/>
      <c r="D12" s="1"/>
      <c r="E12" s="1"/>
      <c r="F12" s="1"/>
      <c r="G12" s="1"/>
      <c r="H12" s="1"/>
    </row>
    <row r="14" spans="2:8" ht="86.25" customHeight="1">
      <c r="B14" s="709" t="s">
        <v>1</v>
      </c>
      <c r="C14" s="709"/>
      <c r="D14" s="709"/>
      <c r="E14" s="709"/>
      <c r="F14" s="709"/>
      <c r="G14" s="709"/>
      <c r="H14" s="709"/>
    </row>
    <row r="15" spans="2:8">
      <c r="B15" s="1"/>
      <c r="C15" s="1"/>
      <c r="D15" s="1"/>
      <c r="E15" s="1"/>
      <c r="F15" s="1"/>
      <c r="G15" s="1"/>
      <c r="H15" s="1"/>
    </row>
    <row r="17" spans="2:8" ht="23.25">
      <c r="B17" s="710" t="s">
        <v>2</v>
      </c>
      <c r="C17" s="710"/>
      <c r="D17" s="710"/>
      <c r="E17" s="710"/>
      <c r="F17" s="710"/>
      <c r="G17" s="710"/>
      <c r="H17" s="710"/>
    </row>
    <row r="18" spans="2:8" ht="23.25">
      <c r="B18" s="710" t="s">
        <v>3</v>
      </c>
      <c r="C18" s="710"/>
      <c r="D18" s="710"/>
      <c r="E18" s="710"/>
      <c r="F18" s="710"/>
      <c r="G18" s="710"/>
      <c r="H18" s="710"/>
    </row>
    <row r="20" spans="2:8">
      <c r="D20" t="s">
        <v>4</v>
      </c>
    </row>
  </sheetData>
  <mergeCells count="4">
    <mergeCell ref="B11:H11"/>
    <mergeCell ref="B14:H14"/>
    <mergeCell ref="B17:H17"/>
    <mergeCell ref="B18:H18"/>
  </mergeCells>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935D9-CB82-4F05-B6B1-75B4E6D358ED}">
  <sheetPr codeName="Sheet10">
    <tabColor rgb="FF92D050"/>
    <pageSetUpPr fitToPage="1"/>
  </sheetPr>
  <dimension ref="B2:N37"/>
  <sheetViews>
    <sheetView view="pageBreakPreview" zoomScale="80" zoomScaleNormal="100" zoomScaleSheetLayoutView="80" workbookViewId="0"/>
  </sheetViews>
  <sheetFormatPr defaultColWidth="9.140625" defaultRowHeight="15"/>
  <cols>
    <col min="1" max="1" width="9.140625" style="2"/>
    <col min="2" max="2" width="23.5703125" style="2" customWidth="1"/>
    <col min="3" max="3" width="58.42578125" style="2" customWidth="1"/>
    <col min="4" max="4" width="55.85546875" style="2" customWidth="1"/>
    <col min="5" max="5" width="12.7109375" style="2" customWidth="1"/>
    <col min="6" max="6" width="9.28515625" style="2" customWidth="1"/>
    <col min="7" max="7" width="8.140625" style="2" customWidth="1"/>
    <col min="8" max="8" width="8.28515625" style="2" customWidth="1"/>
    <col min="9" max="9" width="8" style="2" customWidth="1"/>
    <col min="10" max="10" width="8.5703125" style="2" customWidth="1"/>
    <col min="11" max="11" width="8.85546875" style="2" customWidth="1"/>
    <col min="12" max="12" width="9.140625" style="2" customWidth="1"/>
    <col min="13" max="16384" width="9.140625" style="2"/>
  </cols>
  <sheetData>
    <row r="2" spans="2:14" ht="18.75">
      <c r="B2" s="742" t="s">
        <v>400</v>
      </c>
      <c r="C2" s="743"/>
      <c r="D2" s="743"/>
      <c r="E2" s="743"/>
      <c r="F2" s="743"/>
      <c r="G2" s="743"/>
      <c r="H2" s="743"/>
      <c r="I2" s="743"/>
      <c r="J2" s="743"/>
      <c r="K2" s="743"/>
      <c r="L2" s="749"/>
    </row>
    <row r="3" spans="2:14">
      <c r="B3" s="6" t="s">
        <v>28</v>
      </c>
      <c r="E3" s="520" t="s">
        <v>372</v>
      </c>
      <c r="L3" s="7"/>
    </row>
    <row r="4" spans="2:14">
      <c r="B4" s="6" t="s">
        <v>401</v>
      </c>
      <c r="E4" s="520" t="s">
        <v>374</v>
      </c>
      <c r="L4" s="7"/>
    </row>
    <row r="5" spans="2:14">
      <c r="B5" s="6"/>
      <c r="L5" s="7"/>
    </row>
    <row r="6" spans="2:14">
      <c r="B6" s="24"/>
      <c r="L6" s="7"/>
    </row>
    <row r="7" spans="2:14">
      <c r="B7" s="6"/>
      <c r="C7" s="136" t="s">
        <v>167</v>
      </c>
      <c r="G7" s="772" t="s">
        <v>379</v>
      </c>
      <c r="H7" s="770"/>
      <c r="I7" s="770"/>
      <c r="J7" s="770"/>
      <c r="K7" s="771"/>
      <c r="L7" s="7"/>
      <c r="N7" s="586"/>
    </row>
    <row r="8" spans="2:14" ht="30">
      <c r="B8" s="24"/>
      <c r="C8" s="30" t="s">
        <v>376</v>
      </c>
      <c r="D8" s="61" t="s">
        <v>377</v>
      </c>
      <c r="E8" s="30" t="s">
        <v>378</v>
      </c>
      <c r="F8" s="234" t="s">
        <v>354</v>
      </c>
      <c r="G8" s="769" t="s">
        <v>402</v>
      </c>
      <c r="H8" s="770"/>
      <c r="I8" s="770"/>
      <c r="J8" s="770"/>
      <c r="K8" s="771"/>
      <c r="L8" s="7"/>
    </row>
    <row r="9" spans="2:14">
      <c r="B9" s="33" t="s">
        <v>381</v>
      </c>
      <c r="C9" s="34" t="s">
        <v>179</v>
      </c>
      <c r="D9" s="62" t="s">
        <v>182</v>
      </c>
      <c r="E9" s="34" t="s">
        <v>180</v>
      </c>
      <c r="F9" s="246"/>
      <c r="G9" s="151">
        <v>2021</v>
      </c>
      <c r="H9" s="247">
        <v>2022</v>
      </c>
      <c r="I9" s="247">
        <v>2023</v>
      </c>
      <c r="J9" s="247">
        <v>2024</v>
      </c>
      <c r="K9" s="318">
        <v>2025</v>
      </c>
      <c r="L9" s="7"/>
    </row>
    <row r="10" spans="2:14" ht="28.5" customHeight="1">
      <c r="B10" s="6"/>
      <c r="C10" s="39" t="s">
        <v>382</v>
      </c>
      <c r="D10" s="224" t="s">
        <v>383</v>
      </c>
      <c r="E10" s="39" t="s">
        <v>384</v>
      </c>
      <c r="F10" s="529"/>
      <c r="G10" s="369">
        <v>72.408087489553836</v>
      </c>
      <c r="H10" s="249">
        <f>+G15</f>
        <v>39.82389592129681</v>
      </c>
      <c r="I10" s="249">
        <f>+H15</f>
        <v>-28.311368184685232</v>
      </c>
      <c r="J10" s="249">
        <f>+I15</f>
        <v>-65.374162500514089</v>
      </c>
      <c r="K10" s="696">
        <f>+J15</f>
        <v>-95.373972649789764</v>
      </c>
      <c r="L10" s="7"/>
    </row>
    <row r="11" spans="2:14">
      <c r="B11" s="6"/>
      <c r="C11" s="226" t="s">
        <v>385</v>
      </c>
      <c r="D11" s="225" t="s">
        <v>386</v>
      </c>
      <c r="E11" s="226" t="s">
        <v>188</v>
      </c>
      <c r="F11" s="578">
        <f>+'7'!F11</f>
        <v>4.2299999999999997E-2</v>
      </c>
      <c r="G11" s="250"/>
      <c r="H11" s="251"/>
      <c r="I11" s="251"/>
      <c r="J11" s="251"/>
      <c r="K11" s="697"/>
      <c r="L11" s="7"/>
    </row>
    <row r="12" spans="2:14" ht="28.5" customHeight="1">
      <c r="B12" s="6"/>
      <c r="C12" s="39" t="s">
        <v>387</v>
      </c>
      <c r="D12" s="224" t="s">
        <v>403</v>
      </c>
      <c r="E12" s="39" t="s">
        <v>389</v>
      </c>
      <c r="F12" s="529"/>
      <c r="G12" s="248">
        <f>+G10*$F$11</f>
        <v>3.0628621008081272</v>
      </c>
      <c r="H12" s="249">
        <f>+H10*$F$11</f>
        <v>1.6845507974708549</v>
      </c>
      <c r="I12" s="249">
        <f>+I10*$F$11</f>
        <v>-1.1975708742121853</v>
      </c>
      <c r="J12" s="249">
        <f>+J10*$F$11</f>
        <v>-2.7653270737717457</v>
      </c>
      <c r="K12" s="696">
        <f>+K10*$F$11</f>
        <v>-4.0343190430861071</v>
      </c>
      <c r="L12" s="7"/>
    </row>
    <row r="13" spans="2:14" ht="30">
      <c r="B13" s="6"/>
      <c r="C13" s="226" t="s">
        <v>390</v>
      </c>
      <c r="D13" s="225" t="s">
        <v>391</v>
      </c>
      <c r="E13" s="226" t="s">
        <v>227</v>
      </c>
      <c r="F13" s="530"/>
      <c r="G13" s="702">
        <v>-18.135125682479362</v>
      </c>
      <c r="H13" s="701">
        <v>-52.307886916867098</v>
      </c>
      <c r="I13" s="701">
        <v>-18.353295455030867</v>
      </c>
      <c r="J13" s="701">
        <v>-9.7225550889181296</v>
      </c>
      <c r="K13" s="698">
        <f>+'16'!F20</f>
        <v>4.1380980221833283</v>
      </c>
      <c r="L13" s="7"/>
    </row>
    <row r="14" spans="2:14" ht="43.5" customHeight="1">
      <c r="B14" s="6"/>
      <c r="C14" s="233" t="s">
        <v>392</v>
      </c>
      <c r="D14" s="224" t="s">
        <v>393</v>
      </c>
      <c r="E14" s="39" t="s">
        <v>230</v>
      </c>
      <c r="F14" s="531"/>
      <c r="G14" s="369">
        <v>17.5119279865858</v>
      </c>
      <c r="H14" s="370">
        <v>17.5119279865858</v>
      </c>
      <c r="I14" s="370">
        <v>17.5119279865858</v>
      </c>
      <c r="J14" s="370">
        <v>17.5119279865858</v>
      </c>
      <c r="K14" s="583">
        <v>17.5119279865858</v>
      </c>
      <c r="L14" s="7"/>
    </row>
    <row r="15" spans="2:14" ht="23.25" customHeight="1">
      <c r="B15" s="6"/>
      <c r="C15" s="235" t="s">
        <v>394</v>
      </c>
      <c r="D15" s="245"/>
      <c r="E15" s="235" t="s">
        <v>395</v>
      </c>
      <c r="F15" s="254"/>
      <c r="G15" s="255">
        <f>+SUM(G10:G13)-G14</f>
        <v>39.82389592129681</v>
      </c>
      <c r="H15" s="237">
        <f t="shared" ref="H15:K15" si="0">+SUM(H10:H13)-H14</f>
        <v>-28.311368184685232</v>
      </c>
      <c r="I15" s="237">
        <f t="shared" si="0"/>
        <v>-65.374162500514089</v>
      </c>
      <c r="J15" s="237">
        <f t="shared" si="0"/>
        <v>-95.373972649789764</v>
      </c>
      <c r="K15" s="700">
        <f t="shared" si="0"/>
        <v>-112.78212165727835</v>
      </c>
      <c r="L15" s="7"/>
    </row>
    <row r="16" spans="2:14">
      <c r="B16" s="6"/>
      <c r="L16" s="7"/>
    </row>
    <row r="17" spans="2:12">
      <c r="B17" s="6"/>
      <c r="C17" s="136" t="s">
        <v>167</v>
      </c>
      <c r="G17" s="772" t="s">
        <v>347</v>
      </c>
      <c r="H17" s="770"/>
      <c r="I17" s="770"/>
      <c r="J17" s="770"/>
      <c r="K17" s="771"/>
      <c r="L17" s="7"/>
    </row>
    <row r="18" spans="2:12" ht="30">
      <c r="B18" s="24"/>
      <c r="C18" s="30" t="s">
        <v>376</v>
      </c>
      <c r="D18" s="61" t="s">
        <v>377</v>
      </c>
      <c r="E18" s="30" t="s">
        <v>378</v>
      </c>
      <c r="F18" s="234" t="s">
        <v>354</v>
      </c>
      <c r="G18" s="769" t="s">
        <v>402</v>
      </c>
      <c r="H18" s="770"/>
      <c r="I18" s="770"/>
      <c r="J18" s="770"/>
      <c r="K18" s="771"/>
      <c r="L18" s="7"/>
    </row>
    <row r="19" spans="2:12">
      <c r="B19" s="33" t="s">
        <v>381</v>
      </c>
      <c r="C19" s="34" t="s">
        <v>179</v>
      </c>
      <c r="D19" s="62" t="s">
        <v>182</v>
      </c>
      <c r="E19" s="34" t="s">
        <v>180</v>
      </c>
      <c r="F19" s="246"/>
      <c r="G19" s="151">
        <v>2021</v>
      </c>
      <c r="H19" s="247">
        <v>2022</v>
      </c>
      <c r="I19" s="247">
        <v>2023</v>
      </c>
      <c r="J19" s="247">
        <v>2024</v>
      </c>
      <c r="K19" s="318">
        <v>2025</v>
      </c>
      <c r="L19" s="7"/>
    </row>
    <row r="20" spans="2:12" ht="30">
      <c r="B20" s="6"/>
      <c r="C20" s="39" t="s">
        <v>382</v>
      </c>
      <c r="D20" s="224" t="s">
        <v>383</v>
      </c>
      <c r="E20" s="39" t="s">
        <v>384</v>
      </c>
      <c r="F20" s="529"/>
      <c r="G20" s="369">
        <v>0.22545255785747997</v>
      </c>
      <c r="H20" s="249">
        <f>+G25</f>
        <v>-9.69587248848784</v>
      </c>
      <c r="I20" s="249">
        <f t="shared" ref="I20:K20" si="1">+H25</f>
        <v>-12.147074693269525</v>
      </c>
      <c r="J20" s="249">
        <f>+I25</f>
        <v>-14.31830856743478</v>
      </c>
      <c r="K20" s="696">
        <f t="shared" si="1"/>
        <v>-10.340923977643047</v>
      </c>
      <c r="L20" s="7"/>
    </row>
    <row r="21" spans="2:12">
      <c r="B21" s="6"/>
      <c r="C21" s="226" t="s">
        <v>385</v>
      </c>
      <c r="D21" s="225" t="s">
        <v>386</v>
      </c>
      <c r="E21" s="226" t="s">
        <v>188</v>
      </c>
      <c r="F21" s="578">
        <f>+'7'!F11</f>
        <v>4.2299999999999997E-2</v>
      </c>
      <c r="G21" s="250"/>
      <c r="H21" s="251"/>
      <c r="I21" s="251"/>
      <c r="J21" s="251"/>
      <c r="K21" s="697"/>
      <c r="L21" s="7"/>
    </row>
    <row r="22" spans="2:12" ht="30">
      <c r="B22" s="6"/>
      <c r="C22" s="39" t="s">
        <v>387</v>
      </c>
      <c r="D22" s="224" t="s">
        <v>403</v>
      </c>
      <c r="E22" s="39" t="s">
        <v>389</v>
      </c>
      <c r="F22" s="529"/>
      <c r="G22" s="248">
        <f>+G20*$F$21</f>
        <v>9.5366431973714031E-3</v>
      </c>
      <c r="H22" s="249">
        <f t="shared" ref="H22:J22" si="2">+H20*$F$21</f>
        <v>-0.41013540626303563</v>
      </c>
      <c r="I22" s="249">
        <f t="shared" si="2"/>
        <v>-0.51382125952530089</v>
      </c>
      <c r="J22" s="249">
        <f t="shared" si="2"/>
        <v>-0.60566445240249112</v>
      </c>
      <c r="K22" s="696">
        <f>+K20*$F$21</f>
        <v>-0.43742108425430087</v>
      </c>
      <c r="L22" s="7"/>
    </row>
    <row r="23" spans="2:12" ht="30">
      <c r="B23" s="6"/>
      <c r="C23" s="226" t="s">
        <v>390</v>
      </c>
      <c r="D23" s="225" t="s">
        <v>391</v>
      </c>
      <c r="E23" s="226" t="s">
        <v>227</v>
      </c>
      <c r="F23" s="530"/>
      <c r="G23" s="702">
        <v>-9.4728996203745179</v>
      </c>
      <c r="H23" s="701">
        <v>-1.5831047293504752</v>
      </c>
      <c r="I23" s="701">
        <v>-1.1994505454717805</v>
      </c>
      <c r="J23" s="701">
        <v>5.0410111113623977</v>
      </c>
      <c r="K23" s="698">
        <f>+'16'!G20</f>
        <v>7.5753822188456947</v>
      </c>
      <c r="L23" s="7"/>
    </row>
    <row r="24" spans="2:12" ht="45">
      <c r="B24" s="6"/>
      <c r="C24" s="233" t="s">
        <v>392</v>
      </c>
      <c r="D24" s="224" t="s">
        <v>393</v>
      </c>
      <c r="E24" s="39" t="s">
        <v>230</v>
      </c>
      <c r="F24" s="531"/>
      <c r="G24" s="369">
        <v>0.457962069168174</v>
      </c>
      <c r="H24" s="370">
        <v>0.457962069168174</v>
      </c>
      <c r="I24" s="370">
        <v>0.457962069168174</v>
      </c>
      <c r="J24" s="370">
        <v>0.457962069168174</v>
      </c>
      <c r="K24" s="699">
        <v>0.457962069168174</v>
      </c>
      <c r="L24" s="7"/>
    </row>
    <row r="25" spans="2:12">
      <c r="B25" s="6"/>
      <c r="C25" s="235" t="s">
        <v>394</v>
      </c>
      <c r="D25" s="245" t="s">
        <v>404</v>
      </c>
      <c r="E25" s="235" t="s">
        <v>395</v>
      </c>
      <c r="F25" s="254"/>
      <c r="G25" s="255">
        <f>+SUM(G20:G23)-G24</f>
        <v>-9.69587248848784</v>
      </c>
      <c r="H25" s="237">
        <f t="shared" ref="H25:J25" si="3">+SUM(H20:H23)-H24</f>
        <v>-12.147074693269525</v>
      </c>
      <c r="I25" s="237">
        <f t="shared" si="3"/>
        <v>-14.31830856743478</v>
      </c>
      <c r="J25" s="237">
        <f t="shared" si="3"/>
        <v>-10.340923977643047</v>
      </c>
      <c r="K25" s="700">
        <f>+SUM(K20:K23)-K24</f>
        <v>-3.6609249122198269</v>
      </c>
      <c r="L25" s="7"/>
    </row>
    <row r="26" spans="2:12">
      <c r="B26" s="6"/>
      <c r="L26" s="7"/>
    </row>
    <row r="27" spans="2:12">
      <c r="B27" s="6"/>
      <c r="C27" s="136" t="s">
        <v>167</v>
      </c>
      <c r="G27" s="772" t="s">
        <v>348</v>
      </c>
      <c r="H27" s="770"/>
      <c r="I27" s="770"/>
      <c r="J27" s="770"/>
      <c r="K27" s="771"/>
      <c r="L27" s="7"/>
    </row>
    <row r="28" spans="2:12" ht="30">
      <c r="B28" s="24"/>
      <c r="C28" s="30" t="s">
        <v>376</v>
      </c>
      <c r="D28" s="61" t="s">
        <v>377</v>
      </c>
      <c r="E28" s="30" t="s">
        <v>378</v>
      </c>
      <c r="F28" s="234" t="s">
        <v>354</v>
      </c>
      <c r="G28" s="769" t="s">
        <v>402</v>
      </c>
      <c r="H28" s="770"/>
      <c r="I28" s="770"/>
      <c r="J28" s="770"/>
      <c r="K28" s="771"/>
      <c r="L28" s="7"/>
    </row>
    <row r="29" spans="2:12">
      <c r="B29" s="33" t="s">
        <v>381</v>
      </c>
      <c r="C29" s="34" t="s">
        <v>179</v>
      </c>
      <c r="D29" s="62" t="s">
        <v>182</v>
      </c>
      <c r="E29" s="34" t="s">
        <v>180</v>
      </c>
      <c r="F29" s="246"/>
      <c r="G29" s="151">
        <v>2021</v>
      </c>
      <c r="H29" s="247">
        <v>2022</v>
      </c>
      <c r="I29" s="247">
        <v>2023</v>
      </c>
      <c r="J29" s="247">
        <v>2024</v>
      </c>
      <c r="K29" s="318">
        <v>2025</v>
      </c>
      <c r="L29" s="7"/>
    </row>
    <row r="30" spans="2:12" ht="30">
      <c r="B30" s="6"/>
      <c r="C30" s="39" t="s">
        <v>382</v>
      </c>
      <c r="D30" s="224" t="s">
        <v>383</v>
      </c>
      <c r="E30" s="39" t="s">
        <v>384</v>
      </c>
      <c r="F30" s="529"/>
      <c r="G30" s="248">
        <f>+G10+G20</f>
        <v>72.633540047411316</v>
      </c>
      <c r="H30" s="249">
        <f>+G35</f>
        <v>30.128023432808956</v>
      </c>
      <c r="I30" s="249">
        <f t="shared" ref="I30" si="4">+H35</f>
        <v>-40.458442877954774</v>
      </c>
      <c r="J30" s="249">
        <f>+I35</f>
        <v>-79.692471067948887</v>
      </c>
      <c r="K30" s="696">
        <f>+J35</f>
        <v>-105.71489662743284</v>
      </c>
      <c r="L30" s="7"/>
    </row>
    <row r="31" spans="2:12">
      <c r="B31" s="6"/>
      <c r="C31" s="226" t="s">
        <v>385</v>
      </c>
      <c r="D31" s="225" t="s">
        <v>386</v>
      </c>
      <c r="E31" s="226" t="s">
        <v>188</v>
      </c>
      <c r="F31" s="578">
        <f>+'7'!F11</f>
        <v>4.2299999999999997E-2</v>
      </c>
      <c r="G31" s="250"/>
      <c r="H31" s="251"/>
      <c r="I31" s="251"/>
      <c r="J31" s="251"/>
      <c r="K31" s="697"/>
      <c r="L31" s="7"/>
    </row>
    <row r="32" spans="2:12" ht="30">
      <c r="B32" s="6"/>
      <c r="C32" s="39" t="s">
        <v>387</v>
      </c>
      <c r="D32" s="224" t="s">
        <v>403</v>
      </c>
      <c r="E32" s="39" t="s">
        <v>389</v>
      </c>
      <c r="F32" s="529"/>
      <c r="G32" s="228">
        <f>+G30*$F$31</f>
        <v>3.0723987440054983</v>
      </c>
      <c r="H32" s="249">
        <f t="shared" ref="H32:I32" si="5">+H30*$F$31</f>
        <v>1.2744153912078187</v>
      </c>
      <c r="I32" s="249">
        <f t="shared" si="5"/>
        <v>-1.7113921337374869</v>
      </c>
      <c r="J32" s="249">
        <f>+J30*$F$31</f>
        <v>-3.3709915261742376</v>
      </c>
      <c r="K32" s="696">
        <f>+K30*$F$31</f>
        <v>-4.4717401273404089</v>
      </c>
      <c r="L32" s="7"/>
    </row>
    <row r="33" spans="2:13" ht="30">
      <c r="B33" s="6"/>
      <c r="C33" s="226" t="s">
        <v>390</v>
      </c>
      <c r="D33" s="225" t="s">
        <v>391</v>
      </c>
      <c r="E33" s="226" t="s">
        <v>227</v>
      </c>
      <c r="F33" s="530"/>
      <c r="G33" s="627">
        <f>+G13+G23</f>
        <v>-27.608025302853882</v>
      </c>
      <c r="H33" s="253">
        <f t="shared" ref="H33:K33" si="6">+H13+H23</f>
        <v>-53.890991646217572</v>
      </c>
      <c r="I33" s="253">
        <f t="shared" si="6"/>
        <v>-19.552746000502648</v>
      </c>
      <c r="J33" s="253">
        <f t="shared" si="6"/>
        <v>-4.6815439775557319</v>
      </c>
      <c r="K33" s="319">
        <f t="shared" si="6"/>
        <v>11.713480241029023</v>
      </c>
      <c r="L33" s="7"/>
    </row>
    <row r="34" spans="2:13" ht="45">
      <c r="B34" s="6"/>
      <c r="C34" s="233" t="s">
        <v>392</v>
      </c>
      <c r="D34" s="224" t="s">
        <v>393</v>
      </c>
      <c r="E34" s="39" t="s">
        <v>230</v>
      </c>
      <c r="F34" s="531"/>
      <c r="G34" s="228">
        <f>+G14+G24</f>
        <v>17.969890055753975</v>
      </c>
      <c r="H34" s="249">
        <f t="shared" ref="H34:K34" si="7">+H14+H24</f>
        <v>17.969890055753975</v>
      </c>
      <c r="I34" s="249">
        <f t="shared" si="7"/>
        <v>17.969890055753975</v>
      </c>
      <c r="J34" s="249">
        <f t="shared" si="7"/>
        <v>17.969890055753975</v>
      </c>
      <c r="K34" s="338">
        <f t="shared" si="7"/>
        <v>17.969890055753975</v>
      </c>
      <c r="L34" s="7"/>
      <c r="M34" s="620"/>
    </row>
    <row r="35" spans="2:13">
      <c r="B35" s="6"/>
      <c r="C35" s="235" t="s">
        <v>394</v>
      </c>
      <c r="D35" s="245" t="s">
        <v>404</v>
      </c>
      <c r="E35" s="235" t="s">
        <v>395</v>
      </c>
      <c r="F35" s="254"/>
      <c r="G35" s="255">
        <f>+SUM(G30:G33)-G34</f>
        <v>30.128023432808956</v>
      </c>
      <c r="H35" s="237">
        <f t="shared" ref="H35:J35" si="8">+SUM(H30:H33)-H34</f>
        <v>-40.458442877954774</v>
      </c>
      <c r="I35" s="237">
        <f t="shared" si="8"/>
        <v>-79.692471067948887</v>
      </c>
      <c r="J35" s="237">
        <f t="shared" si="8"/>
        <v>-105.71489662743284</v>
      </c>
      <c r="K35" s="700">
        <f>+SUM(K30:K33)-K34</f>
        <v>-116.44304656949821</v>
      </c>
      <c r="L35" s="7"/>
      <c r="M35" s="620"/>
    </row>
    <row r="36" spans="2:13">
      <c r="B36" s="6"/>
      <c r="L36" s="7"/>
    </row>
    <row r="37" spans="2:13" ht="52.5" customHeight="1">
      <c r="B37" s="766" t="s">
        <v>405</v>
      </c>
      <c r="C37" s="767"/>
      <c r="D37" s="767"/>
      <c r="E37" s="767"/>
      <c r="F37" s="767"/>
      <c r="G37" s="767"/>
      <c r="H37" s="767"/>
      <c r="I37" s="767"/>
      <c r="J37" s="767"/>
      <c r="K37" s="767"/>
      <c r="L37" s="768"/>
      <c r="M37" s="620"/>
    </row>
  </sheetData>
  <mergeCells count="8">
    <mergeCell ref="B2:L2"/>
    <mergeCell ref="B37:L37"/>
    <mergeCell ref="G28:K28"/>
    <mergeCell ref="G8:K8"/>
    <mergeCell ref="G7:K7"/>
    <mergeCell ref="G17:K17"/>
    <mergeCell ref="G18:K18"/>
    <mergeCell ref="G27:K27"/>
  </mergeCells>
  <hyperlinks>
    <hyperlink ref="B2" location="Contents!A1" display="An updated forecast EV account balance at the end of RCP3" xr:uid="{9898C4DA-6001-4F31-B608-0963E48E917F}"/>
  </hyperlinks>
  <pageMargins left="0.70866141732283472" right="0.70866141732283472" top="0.74803149606299213" bottom="0.74803149606299213" header="0.31496062992125984" footer="0.31496062992125984"/>
  <pageSetup paperSize="9" scale="58" orientation="landscape" r:id="rId1"/>
  <headerFooter>
    <oddFooter>&amp;L&amp;F&amp;C&amp;T&amp;RSheet: &amp;A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A7B6B-873F-4603-87F5-F97E2C08ECCE}">
  <sheetPr codeName="Sheet11">
    <tabColor rgb="FF92D050"/>
    <pageSetUpPr fitToPage="1"/>
  </sheetPr>
  <dimension ref="A2:J32"/>
  <sheetViews>
    <sheetView view="pageBreakPreview" zoomScale="90" zoomScaleNormal="100" zoomScaleSheetLayoutView="90" workbookViewId="0">
      <selection activeCell="C12" sqref="C12"/>
    </sheetView>
  </sheetViews>
  <sheetFormatPr defaultColWidth="9.140625" defaultRowHeight="15"/>
  <cols>
    <col min="1" max="1" width="9.140625" style="2"/>
    <col min="2" max="2" width="23.5703125" style="2" customWidth="1"/>
    <col min="3" max="3" width="68.42578125" style="2" customWidth="1"/>
    <col min="4" max="4" width="55.85546875" style="2" customWidth="1"/>
    <col min="5" max="5" width="11.28515625" style="2" customWidth="1"/>
    <col min="6" max="6" width="12.7109375" style="2" bestFit="1" customWidth="1"/>
    <col min="7" max="7" width="12.7109375" style="2" customWidth="1"/>
    <col min="8" max="16384" width="9.140625" style="2"/>
  </cols>
  <sheetData>
    <row r="2" spans="2:9" ht="18.75">
      <c r="B2" s="742" t="s">
        <v>406</v>
      </c>
      <c r="C2" s="743"/>
      <c r="D2" s="743"/>
      <c r="E2" s="743"/>
      <c r="F2" s="743"/>
      <c r="G2" s="743"/>
      <c r="H2" s="743"/>
      <c r="I2" s="749"/>
    </row>
    <row r="3" spans="2:9">
      <c r="B3" s="6" t="s">
        <v>31</v>
      </c>
      <c r="I3" s="7"/>
    </row>
    <row r="4" spans="2:9">
      <c r="B4" s="6" t="s">
        <v>407</v>
      </c>
      <c r="I4" s="7"/>
    </row>
    <row r="5" spans="2:9">
      <c r="B5" s="6"/>
      <c r="I5" s="7"/>
    </row>
    <row r="6" spans="2:9">
      <c r="B6" s="24" t="s">
        <v>408</v>
      </c>
      <c r="I6" s="7"/>
    </row>
    <row r="7" spans="2:9">
      <c r="B7" s="6"/>
      <c r="C7" s="136" t="s">
        <v>167</v>
      </c>
      <c r="I7" s="7"/>
    </row>
    <row r="8" spans="2:9" ht="30">
      <c r="B8" s="24"/>
      <c r="C8" s="30" t="s">
        <v>376</v>
      </c>
      <c r="D8" s="61" t="s">
        <v>377</v>
      </c>
      <c r="E8" s="61" t="s">
        <v>409</v>
      </c>
      <c r="F8" s="30" t="s">
        <v>379</v>
      </c>
      <c r="G8" s="31" t="s">
        <v>347</v>
      </c>
      <c r="H8" s="52" t="s">
        <v>380</v>
      </c>
      <c r="I8" s="7"/>
    </row>
    <row r="9" spans="2:9">
      <c r="B9" s="33" t="s">
        <v>410</v>
      </c>
      <c r="C9" s="34" t="s">
        <v>179</v>
      </c>
      <c r="D9" s="62" t="s">
        <v>182</v>
      </c>
      <c r="E9" s="62" t="s">
        <v>180</v>
      </c>
      <c r="F9" s="34"/>
      <c r="G9" s="35"/>
      <c r="H9" s="53"/>
      <c r="I9" s="7"/>
    </row>
    <row r="10" spans="2:9" ht="28.5" customHeight="1">
      <c r="B10" s="6"/>
      <c r="C10" s="39" t="s">
        <v>411</v>
      </c>
      <c r="D10" s="224" t="s">
        <v>412</v>
      </c>
      <c r="E10" s="452" t="s">
        <v>384</v>
      </c>
      <c r="F10" s="369">
        <v>8.0690509900000027</v>
      </c>
      <c r="G10" s="370">
        <v>0</v>
      </c>
      <c r="H10" s="312">
        <f t="shared" ref="H10:H23" si="0">+F10+G10</f>
        <v>8.0690509900000027</v>
      </c>
      <c r="I10" s="7"/>
    </row>
    <row r="11" spans="2:9" ht="30">
      <c r="B11" s="6"/>
      <c r="C11" s="226" t="s">
        <v>413</v>
      </c>
      <c r="D11" s="225" t="s">
        <v>414</v>
      </c>
      <c r="E11" s="453" t="s">
        <v>188</v>
      </c>
      <c r="F11" s="371">
        <v>4.5409807999999998</v>
      </c>
      <c r="G11" s="372">
        <v>0</v>
      </c>
      <c r="H11" s="311">
        <f t="shared" si="0"/>
        <v>4.5409807999999998</v>
      </c>
      <c r="I11" s="7"/>
    </row>
    <row r="12" spans="2:9" ht="28.5" customHeight="1">
      <c r="B12" s="6"/>
      <c r="C12" s="39" t="s">
        <v>415</v>
      </c>
      <c r="D12" s="224" t="s">
        <v>416</v>
      </c>
      <c r="E12" s="452" t="s">
        <v>417</v>
      </c>
      <c r="F12" s="369">
        <v>10.263588159999998</v>
      </c>
      <c r="G12" s="370">
        <v>0</v>
      </c>
      <c r="H12" s="312">
        <f t="shared" si="0"/>
        <v>10.263588159999998</v>
      </c>
      <c r="I12" s="7"/>
    </row>
    <row r="13" spans="2:9" ht="30">
      <c r="B13" s="6"/>
      <c r="C13" s="226" t="s">
        <v>418</v>
      </c>
      <c r="D13" s="225" t="s">
        <v>419</v>
      </c>
      <c r="E13" s="453" t="s">
        <v>227</v>
      </c>
      <c r="F13" s="371">
        <v>0.11832804</v>
      </c>
      <c r="G13" s="372">
        <v>0</v>
      </c>
      <c r="H13" s="311">
        <f t="shared" si="0"/>
        <v>0.11832804</v>
      </c>
      <c r="I13" s="7"/>
    </row>
    <row r="14" spans="2:9" ht="28.5" customHeight="1">
      <c r="B14" s="6"/>
      <c r="C14" s="39" t="s">
        <v>420</v>
      </c>
      <c r="D14" s="224" t="s">
        <v>421</v>
      </c>
      <c r="E14" s="452" t="s">
        <v>230</v>
      </c>
      <c r="F14" s="369">
        <v>0</v>
      </c>
      <c r="G14" s="370">
        <v>0</v>
      </c>
      <c r="H14" s="312">
        <f t="shared" si="0"/>
        <v>0</v>
      </c>
      <c r="I14" s="7"/>
    </row>
    <row r="15" spans="2:9" ht="23.25" customHeight="1">
      <c r="B15" s="6"/>
      <c r="C15" s="42" t="s">
        <v>422</v>
      </c>
      <c r="D15" s="63" t="s">
        <v>423</v>
      </c>
      <c r="E15" s="454" t="s">
        <v>233</v>
      </c>
      <c r="F15" s="309">
        <f>+SUM(F10:F14)</f>
        <v>22.99194799</v>
      </c>
      <c r="G15" s="142">
        <f>+SUM(G10:G14)</f>
        <v>0</v>
      </c>
      <c r="H15" s="310">
        <f t="shared" si="0"/>
        <v>22.99194799</v>
      </c>
      <c r="I15" s="7"/>
    </row>
    <row r="16" spans="2:9" ht="28.5" customHeight="1">
      <c r="B16" s="6"/>
      <c r="C16" s="39" t="s">
        <v>424</v>
      </c>
      <c r="D16" s="224" t="s">
        <v>425</v>
      </c>
      <c r="E16" s="452" t="s">
        <v>236</v>
      </c>
      <c r="F16" s="369">
        <v>1.3381442391141145</v>
      </c>
      <c r="G16" s="370">
        <v>0.4842771367593629</v>
      </c>
      <c r="H16" s="312">
        <f t="shared" si="0"/>
        <v>1.8224213758734775</v>
      </c>
      <c r="I16" s="7"/>
    </row>
    <row r="17" spans="1:10" ht="30">
      <c r="B17" s="6"/>
      <c r="C17" s="226" t="s">
        <v>426</v>
      </c>
      <c r="D17" s="225" t="s">
        <v>427</v>
      </c>
      <c r="E17" s="453" t="s">
        <v>239</v>
      </c>
      <c r="F17" s="371">
        <v>-4.736071E-2</v>
      </c>
      <c r="G17" s="372">
        <v>2.7295775400000002</v>
      </c>
      <c r="H17" s="311">
        <f t="shared" si="0"/>
        <v>2.6822168300000002</v>
      </c>
      <c r="I17" s="7"/>
      <c r="J17" s="620"/>
    </row>
    <row r="18" spans="1:10" ht="28.5" customHeight="1">
      <c r="B18" s="6"/>
      <c r="C18" s="39" t="s">
        <v>428</v>
      </c>
      <c r="D18" s="224" t="s">
        <v>429</v>
      </c>
      <c r="E18" s="452" t="s">
        <v>312</v>
      </c>
      <c r="F18" s="369">
        <v>0</v>
      </c>
      <c r="G18" s="370">
        <v>0</v>
      </c>
      <c r="H18" s="312">
        <f t="shared" si="0"/>
        <v>0</v>
      </c>
      <c r="I18" s="7"/>
    </row>
    <row r="19" spans="1:10" ht="45">
      <c r="B19" s="6"/>
      <c r="C19" s="226" t="s">
        <v>430</v>
      </c>
      <c r="D19" s="225" t="s">
        <v>431</v>
      </c>
      <c r="E19" s="453" t="s">
        <v>242</v>
      </c>
      <c r="F19" s="371">
        <v>0</v>
      </c>
      <c r="G19" s="372">
        <v>0</v>
      </c>
      <c r="H19" s="311">
        <f t="shared" si="0"/>
        <v>0</v>
      </c>
      <c r="I19" s="7"/>
      <c r="J19" s="620"/>
    </row>
    <row r="20" spans="1:10" ht="28.5" customHeight="1">
      <c r="B20" s="6"/>
      <c r="C20" s="39" t="s">
        <v>432</v>
      </c>
      <c r="D20" s="224" t="s">
        <v>433</v>
      </c>
      <c r="E20" s="452" t="s">
        <v>244</v>
      </c>
      <c r="F20" s="369">
        <v>0</v>
      </c>
      <c r="G20" s="370">
        <v>0</v>
      </c>
      <c r="H20" s="312">
        <f t="shared" si="0"/>
        <v>0</v>
      </c>
      <c r="I20" s="7"/>
      <c r="J20" s="620"/>
    </row>
    <row r="21" spans="1:10" ht="30">
      <c r="A21" s="2" t="s">
        <v>265</v>
      </c>
      <c r="B21" s="6"/>
      <c r="C21" s="225" t="s">
        <v>434</v>
      </c>
      <c r="D21" s="225" t="s">
        <v>435</v>
      </c>
      <c r="E21" s="453" t="s">
        <v>247</v>
      </c>
      <c r="F21" s="371">
        <v>0.29958033999999989</v>
      </c>
      <c r="G21" s="372">
        <v>0</v>
      </c>
      <c r="H21" s="311">
        <f t="shared" si="0"/>
        <v>0.29958033999999989</v>
      </c>
      <c r="I21" s="7"/>
    </row>
    <row r="22" spans="1:10" ht="23.25" customHeight="1">
      <c r="B22" s="6"/>
      <c r="C22" s="42" t="s">
        <v>436</v>
      </c>
      <c r="D22" s="63" t="s">
        <v>437</v>
      </c>
      <c r="E22" s="454" t="s">
        <v>250</v>
      </c>
      <c r="F22" s="309">
        <f>SUM(F16:F21)</f>
        <v>1.5903638691141144</v>
      </c>
      <c r="G22" s="142">
        <f>SUM(G16:G21)</f>
        <v>3.2138546767593632</v>
      </c>
      <c r="H22" s="310">
        <f t="shared" si="0"/>
        <v>4.8042185458734776</v>
      </c>
      <c r="I22" s="7"/>
    </row>
    <row r="23" spans="1:10" ht="23.25" customHeight="1">
      <c r="B23" s="6"/>
      <c r="C23" s="235" t="s">
        <v>438</v>
      </c>
      <c r="D23" s="245" t="s">
        <v>439</v>
      </c>
      <c r="E23" s="455" t="s">
        <v>253</v>
      </c>
      <c r="F23" s="255">
        <f>+F15+F22</f>
        <v>24.582311859114114</v>
      </c>
      <c r="G23" s="237">
        <f>+G22+G15</f>
        <v>3.2138546767593632</v>
      </c>
      <c r="H23" s="261">
        <f t="shared" si="0"/>
        <v>27.796166535873478</v>
      </c>
      <c r="I23" s="7"/>
    </row>
    <row r="24" spans="1:10">
      <c r="B24" s="6"/>
      <c r="I24" s="7"/>
    </row>
    <row r="25" spans="1:10" ht="18.75">
      <c r="B25" s="750" t="s">
        <v>440</v>
      </c>
      <c r="C25" s="751"/>
      <c r="D25" s="751"/>
      <c r="E25" s="751"/>
      <c r="F25" s="751"/>
      <c r="G25" s="751"/>
      <c r="H25" s="751"/>
      <c r="I25" s="752"/>
    </row>
    <row r="26" spans="1:10">
      <c r="B26" s="6" t="s">
        <v>441</v>
      </c>
      <c r="I26" s="7"/>
    </row>
    <row r="27" spans="1:10" ht="36.75" customHeight="1">
      <c r="B27" s="6"/>
      <c r="C27" s="773" t="s">
        <v>442</v>
      </c>
      <c r="D27" s="757"/>
      <c r="E27" s="757"/>
      <c r="F27" s="757"/>
      <c r="G27" s="757"/>
      <c r="H27" s="758"/>
      <c r="I27" s="7"/>
    </row>
    <row r="28" spans="1:10">
      <c r="B28" s="6"/>
      <c r="I28" s="7"/>
    </row>
    <row r="29" spans="1:10" ht="18.75">
      <c r="B29" s="750" t="s">
        <v>443</v>
      </c>
      <c r="C29" s="751"/>
      <c r="D29" s="751"/>
      <c r="E29" s="751"/>
      <c r="F29" s="751"/>
      <c r="G29" s="751"/>
      <c r="H29" s="751"/>
      <c r="I29" s="752"/>
    </row>
    <row r="30" spans="1:10">
      <c r="B30" s="6" t="s">
        <v>444</v>
      </c>
      <c r="I30" s="7"/>
    </row>
    <row r="31" spans="1:10" ht="36.75" customHeight="1">
      <c r="B31" s="68"/>
      <c r="C31" s="773" t="s">
        <v>442</v>
      </c>
      <c r="D31" s="757"/>
      <c r="E31" s="757"/>
      <c r="F31" s="757"/>
      <c r="G31" s="757"/>
      <c r="H31" s="758"/>
      <c r="I31" s="7"/>
    </row>
    <row r="32" spans="1:10">
      <c r="B32" s="9"/>
      <c r="C32" s="10"/>
      <c r="D32" s="10"/>
      <c r="E32" s="10"/>
      <c r="F32" s="10"/>
      <c r="G32" s="10"/>
      <c r="H32" s="10"/>
      <c r="I32" s="23"/>
    </row>
  </sheetData>
  <mergeCells count="5">
    <mergeCell ref="C27:H27"/>
    <mergeCell ref="C31:H31"/>
    <mergeCell ref="B2:I2"/>
    <mergeCell ref="B25:I25"/>
    <mergeCell ref="B29:I29"/>
  </mergeCells>
  <hyperlinks>
    <hyperlink ref="B2" location="Contents!A1" display="A summary of pass-through costs and recoverable costs for the disclosure year as set out in Schedule H" xr:uid="{1A8D803E-D16E-48A3-938A-F1FB33C80DB1}"/>
    <hyperlink ref="B25" location="Contents!A1" display="A description and explanation of any opex incurred as part of a major capex project" xr:uid="{F23EC9BE-7421-47C2-964D-6D0DF8E1DCE8}"/>
    <hyperlink ref="B29" location="Contents!A1" display="A summary of any prudent net additional opex incurred in responding to a catastrophic event, as determined by the Commission" xr:uid="{D8F2B8CB-D6A9-47F3-90D0-E2DC9F8665E5}"/>
  </hyperlinks>
  <pageMargins left="0.70866141732283472" right="0.70866141732283472" top="0.74803149606299213" bottom="0.74803149606299213" header="0.31496062992125984" footer="0.31496062992125984"/>
  <pageSetup paperSize="9" scale="64" orientation="landscape" r:id="rId1"/>
  <headerFooter>
    <oddFooter>&amp;L&amp;F&amp;C&amp;D&amp;RSheet: &amp;A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D51D3-4284-4018-B775-AABE6F14AF69}">
  <sheetPr codeName="Sheet12">
    <tabColor rgb="FF92D050"/>
    <pageSetUpPr fitToPage="1"/>
  </sheetPr>
  <dimension ref="B2:Q35"/>
  <sheetViews>
    <sheetView view="pageBreakPreview" zoomScale="75" zoomScaleNormal="100" zoomScaleSheetLayoutView="75" workbookViewId="0"/>
  </sheetViews>
  <sheetFormatPr defaultColWidth="9.140625" defaultRowHeight="15"/>
  <cols>
    <col min="1" max="1" width="9.140625" style="2"/>
    <col min="2" max="2" width="11.140625" style="2" customWidth="1"/>
    <col min="3" max="3" width="68.42578125" style="2" customWidth="1"/>
    <col min="4" max="4" width="9.28515625" style="2" customWidth="1"/>
    <col min="5" max="5" width="8.85546875" style="2" customWidth="1"/>
    <col min="6" max="8" width="9.140625" style="2"/>
    <col min="9" max="9" width="6.28515625" style="2" customWidth="1"/>
    <col min="10" max="10" width="3.42578125" style="2" customWidth="1"/>
    <col min="11" max="11" width="71.28515625" style="2" customWidth="1"/>
    <col min="12" max="12" width="9.28515625" style="2" customWidth="1"/>
    <col min="13" max="13" width="8.85546875" style="2" customWidth="1"/>
    <col min="14" max="16384" width="9.140625" style="2"/>
  </cols>
  <sheetData>
    <row r="2" spans="2:17" ht="18.75">
      <c r="B2" s="742" t="s">
        <v>445</v>
      </c>
      <c r="C2" s="743"/>
      <c r="D2" s="743"/>
      <c r="E2" s="743"/>
      <c r="F2" s="743"/>
      <c r="G2" s="743"/>
      <c r="H2" s="743"/>
      <c r="I2" s="743"/>
      <c r="J2" s="743"/>
      <c r="K2" s="743"/>
      <c r="L2" s="743"/>
      <c r="M2" s="743"/>
      <c r="N2" s="743"/>
      <c r="O2" s="743"/>
      <c r="P2" s="743"/>
      <c r="Q2" s="749"/>
    </row>
    <row r="3" spans="2:17" ht="15" customHeight="1">
      <c r="B3" s="711" t="s">
        <v>35</v>
      </c>
      <c r="C3" s="776"/>
      <c r="Q3" s="7"/>
    </row>
    <row r="4" spans="2:17">
      <c r="B4" s="6"/>
      <c r="Q4" s="7"/>
    </row>
    <row r="5" spans="2:17">
      <c r="B5" s="6"/>
      <c r="Q5" s="7"/>
    </row>
    <row r="6" spans="2:17">
      <c r="B6" s="6"/>
      <c r="C6" s="501"/>
      <c r="Q6" s="7"/>
    </row>
    <row r="7" spans="2:17">
      <c r="B7" s="6"/>
      <c r="C7" s="136" t="s">
        <v>167</v>
      </c>
      <c r="D7" s="772" t="s">
        <v>379</v>
      </c>
      <c r="E7" s="770"/>
      <c r="F7" s="770"/>
      <c r="G7" s="770"/>
      <c r="H7" s="771"/>
      <c r="K7" s="136" t="s">
        <v>167</v>
      </c>
      <c r="L7" s="772" t="s">
        <v>379</v>
      </c>
      <c r="M7" s="770"/>
      <c r="N7" s="770"/>
      <c r="O7" s="770"/>
      <c r="P7" s="771"/>
      <c r="Q7" s="7"/>
    </row>
    <row r="8" spans="2:17">
      <c r="B8" s="6"/>
      <c r="C8" s="777" t="s">
        <v>376</v>
      </c>
      <c r="D8" s="769" t="s">
        <v>402</v>
      </c>
      <c r="E8" s="770"/>
      <c r="F8" s="770"/>
      <c r="G8" s="770"/>
      <c r="H8" s="771"/>
      <c r="K8" s="777" t="s">
        <v>376</v>
      </c>
      <c r="L8" s="769" t="s">
        <v>402</v>
      </c>
      <c r="M8" s="770"/>
      <c r="N8" s="770"/>
      <c r="O8" s="770"/>
      <c r="P8" s="771"/>
      <c r="Q8" s="7"/>
    </row>
    <row r="9" spans="2:17">
      <c r="B9" s="6"/>
      <c r="C9" s="755"/>
      <c r="D9" s="151">
        <v>2021</v>
      </c>
      <c r="E9" s="247">
        <v>2022</v>
      </c>
      <c r="F9" s="247">
        <v>2023</v>
      </c>
      <c r="G9" s="247">
        <v>2024</v>
      </c>
      <c r="H9" s="318">
        <v>2025</v>
      </c>
      <c r="K9" s="755"/>
      <c r="L9" s="151">
        <v>2021</v>
      </c>
      <c r="M9" s="247">
        <v>2022</v>
      </c>
      <c r="N9" s="247">
        <v>2023</v>
      </c>
      <c r="O9" s="247">
        <v>2024</v>
      </c>
      <c r="P9" s="318">
        <v>2025</v>
      </c>
      <c r="Q9" s="7"/>
    </row>
    <row r="10" spans="2:17" ht="26.45" customHeight="1">
      <c r="B10" s="6"/>
      <c r="C10" s="502" t="s">
        <v>446</v>
      </c>
      <c r="D10" s="332">
        <f>'14'!I22</f>
        <v>254.1982947815294</v>
      </c>
      <c r="E10" s="333">
        <f>'14'!J22</f>
        <v>267.64570886860963</v>
      </c>
      <c r="F10" s="333">
        <f>'14'!K22</f>
        <v>289.54199859287212</v>
      </c>
      <c r="G10" s="333">
        <f>'14'!L22</f>
        <v>305.84237580977418</v>
      </c>
      <c r="H10" s="334">
        <f>'14'!M22</f>
        <v>305.80673041097242</v>
      </c>
      <c r="K10" s="502" t="s">
        <v>447</v>
      </c>
      <c r="L10" s="332">
        <f>+'14'!I23</f>
        <v>9.8006308298982265</v>
      </c>
      <c r="M10" s="333">
        <f>+'14'!J23</f>
        <v>10.32588470927764</v>
      </c>
      <c r="N10" s="333">
        <f>+'14'!K23</f>
        <v>10.934727599630994</v>
      </c>
      <c r="O10" s="333">
        <f>+'14'!L23</f>
        <v>11.307056885792811</v>
      </c>
      <c r="P10" s="334">
        <f>+'14'!M23</f>
        <v>11.583269356368039</v>
      </c>
      <c r="Q10" s="7"/>
    </row>
    <row r="11" spans="2:17" ht="26.45" customHeight="1">
      <c r="B11" s="382" t="s">
        <v>448</v>
      </c>
      <c r="C11" s="226" t="s">
        <v>449</v>
      </c>
      <c r="D11" s="371">
        <v>243.20007667256706</v>
      </c>
      <c r="E11" s="372">
        <v>249.94801131957311</v>
      </c>
      <c r="F11" s="372">
        <v>294.7116723930464</v>
      </c>
      <c r="G11" s="372">
        <v>306.47731529788666</v>
      </c>
      <c r="H11" s="561">
        <v>331.95446471805025</v>
      </c>
      <c r="J11" s="343" t="s">
        <v>448</v>
      </c>
      <c r="K11" s="226" t="s">
        <v>450</v>
      </c>
      <c r="L11" s="371">
        <v>9.8568077447999993</v>
      </c>
      <c r="M11" s="372">
        <v>11.510584813199998</v>
      </c>
      <c r="N11" s="372">
        <v>10.855604420000001</v>
      </c>
      <c r="O11" s="655">
        <v>11.230053</v>
      </c>
      <c r="P11" s="561">
        <v>11.770943000000001</v>
      </c>
      <c r="Q11" s="7"/>
    </row>
    <row r="12" spans="2:17" ht="26.45" customHeight="1">
      <c r="B12" s="6"/>
      <c r="C12" s="235" t="s">
        <v>451</v>
      </c>
      <c r="D12" s="344">
        <f>+D10-D11</f>
        <v>10.998218108962334</v>
      </c>
      <c r="E12" s="345">
        <f>+E10-E11</f>
        <v>17.697697549036519</v>
      </c>
      <c r="F12" s="345">
        <f>+F10-F11</f>
        <v>-5.1696738001742801</v>
      </c>
      <c r="G12" s="345">
        <f>+G10-G11</f>
        <v>-0.63493948811247947</v>
      </c>
      <c r="H12" s="346">
        <f>+H10-H11</f>
        <v>-26.147734307077826</v>
      </c>
      <c r="K12" s="235" t="s">
        <v>451</v>
      </c>
      <c r="L12" s="344">
        <f>+L10-L11</f>
        <v>-5.617691490177279E-2</v>
      </c>
      <c r="M12" s="345">
        <f>+M10-M11</f>
        <v>-1.1847001039223581</v>
      </c>
      <c r="N12" s="345">
        <f>+N10-N11</f>
        <v>7.912317963099369E-2</v>
      </c>
      <c r="O12" s="345">
        <f>+O10-O11</f>
        <v>7.7003885792811033E-2</v>
      </c>
      <c r="P12" s="346">
        <f>+P10-P11</f>
        <v>-0.18767364363196215</v>
      </c>
      <c r="Q12" s="7"/>
    </row>
    <row r="13" spans="2:17" ht="26.45" customHeight="1">
      <c r="B13" s="6"/>
      <c r="C13" s="778"/>
      <c r="D13" s="775"/>
      <c r="E13" s="775"/>
      <c r="F13" s="775"/>
      <c r="G13" s="775"/>
      <c r="H13" s="775"/>
      <c r="K13" s="774" t="s">
        <v>452</v>
      </c>
      <c r="L13" s="775"/>
      <c r="M13" s="775"/>
      <c r="N13" s="775"/>
      <c r="O13" s="775"/>
      <c r="P13" s="775"/>
      <c r="Q13" s="7"/>
    </row>
    <row r="14" spans="2:17" ht="57" customHeight="1">
      <c r="B14" s="6"/>
      <c r="C14" s="773" t="s">
        <v>453</v>
      </c>
      <c r="D14" s="757"/>
      <c r="E14" s="757"/>
      <c r="F14" s="757"/>
      <c r="G14" s="757"/>
      <c r="H14" s="758"/>
      <c r="K14" s="773"/>
      <c r="L14" s="757"/>
      <c r="M14" s="757"/>
      <c r="N14" s="757"/>
      <c r="O14" s="757"/>
      <c r="P14" s="758"/>
      <c r="Q14" s="7"/>
    </row>
    <row r="15" spans="2:17">
      <c r="B15" s="6"/>
      <c r="Q15" s="7"/>
    </row>
    <row r="16" spans="2:17">
      <c r="B16" s="6"/>
      <c r="C16" s="136" t="s">
        <v>167</v>
      </c>
      <c r="D16" s="772" t="s">
        <v>347</v>
      </c>
      <c r="E16" s="770"/>
      <c r="F16" s="770"/>
      <c r="G16" s="770"/>
      <c r="H16" s="771"/>
      <c r="K16" s="136" t="s">
        <v>167</v>
      </c>
      <c r="L16" s="772" t="s">
        <v>347</v>
      </c>
      <c r="M16" s="770"/>
      <c r="N16" s="770"/>
      <c r="O16" s="770"/>
      <c r="P16" s="771"/>
      <c r="Q16" s="7"/>
    </row>
    <row r="17" spans="2:17">
      <c r="B17" s="6"/>
      <c r="C17" s="777" t="s">
        <v>376</v>
      </c>
      <c r="D17" s="769" t="s">
        <v>402</v>
      </c>
      <c r="E17" s="770"/>
      <c r="F17" s="770"/>
      <c r="G17" s="770"/>
      <c r="H17" s="771"/>
      <c r="K17" s="777" t="s">
        <v>376</v>
      </c>
      <c r="L17" s="769" t="s">
        <v>402</v>
      </c>
      <c r="M17" s="770"/>
      <c r="N17" s="770"/>
      <c r="O17" s="770"/>
      <c r="P17" s="771"/>
      <c r="Q17" s="7"/>
    </row>
    <row r="18" spans="2:17">
      <c r="B18" s="6"/>
      <c r="C18" s="755"/>
      <c r="D18" s="151">
        <v>2021</v>
      </c>
      <c r="E18" s="247">
        <v>2022</v>
      </c>
      <c r="F18" s="247">
        <v>2023</v>
      </c>
      <c r="G18" s="247">
        <v>2024</v>
      </c>
      <c r="H18" s="318">
        <v>2025</v>
      </c>
      <c r="K18" s="755"/>
      <c r="L18" s="151">
        <v>2021</v>
      </c>
      <c r="M18" s="247">
        <v>2022</v>
      </c>
      <c r="N18" s="247">
        <v>2023</v>
      </c>
      <c r="O18" s="247">
        <v>2024</v>
      </c>
      <c r="P18" s="318">
        <v>2025</v>
      </c>
      <c r="Q18" s="7"/>
    </row>
    <row r="19" spans="2:17" ht="26.45" customHeight="1">
      <c r="B19" s="6"/>
      <c r="C19" s="502" t="s">
        <v>446</v>
      </c>
      <c r="D19" s="332">
        <f>+'14'!I35</f>
        <v>23.171154903605114</v>
      </c>
      <c r="E19" s="333">
        <f>'14'!J35</f>
        <v>25.064671321049293</v>
      </c>
      <c r="F19" s="333">
        <f>'14'!K35</f>
        <v>27.420091103408414</v>
      </c>
      <c r="G19" s="333">
        <f>'14'!L35</f>
        <v>29.20185574164223</v>
      </c>
      <c r="H19" s="334">
        <f>'14'!M35</f>
        <v>30.472401516287242</v>
      </c>
      <c r="K19" s="502" t="s">
        <v>447</v>
      </c>
      <c r="L19" s="332">
        <f>+'14'!I36</f>
        <v>0</v>
      </c>
      <c r="M19" s="333">
        <f>+'14'!J36</f>
        <v>0</v>
      </c>
      <c r="N19" s="333">
        <f>+'14'!K36</f>
        <v>0</v>
      </c>
      <c r="O19" s="333">
        <f>+'14'!L36</f>
        <v>0</v>
      </c>
      <c r="P19" s="334">
        <f>+'14'!M36</f>
        <v>0</v>
      </c>
      <c r="Q19" s="7"/>
    </row>
    <row r="20" spans="2:17" ht="26.45" customHeight="1">
      <c r="B20" s="382" t="s">
        <v>448</v>
      </c>
      <c r="C20" s="226" t="s">
        <v>449</v>
      </c>
      <c r="D20" s="371">
        <v>26.158835614400004</v>
      </c>
      <c r="E20" s="372">
        <v>29.031438063700001</v>
      </c>
      <c r="F20" s="372">
        <v>33.858476972799984</v>
      </c>
      <c r="G20" s="372">
        <v>38.233566686400039</v>
      </c>
      <c r="H20" s="561">
        <v>42.467646142200003</v>
      </c>
      <c r="J20" s="343" t="s">
        <v>448</v>
      </c>
      <c r="K20" s="226" t="s">
        <v>450</v>
      </c>
      <c r="L20" s="371">
        <v>0</v>
      </c>
      <c r="M20" s="372">
        <v>0</v>
      </c>
      <c r="N20" s="372">
        <v>0</v>
      </c>
      <c r="O20" s="372">
        <v>0</v>
      </c>
      <c r="P20" s="561">
        <v>0</v>
      </c>
      <c r="Q20" s="7"/>
    </row>
    <row r="21" spans="2:17" ht="26.45" customHeight="1">
      <c r="B21" s="6"/>
      <c r="C21" s="235" t="s">
        <v>451</v>
      </c>
      <c r="D21" s="344">
        <f>+D19-D20</f>
        <v>-2.9876807107948906</v>
      </c>
      <c r="E21" s="345">
        <f>+E19-E20</f>
        <v>-3.9667667426507087</v>
      </c>
      <c r="F21" s="345">
        <f>+F19-F20</f>
        <v>-6.4383858693915705</v>
      </c>
      <c r="G21" s="345">
        <f>+G19-G20</f>
        <v>-9.0317109447578083</v>
      </c>
      <c r="H21" s="346">
        <f>+H19-H20</f>
        <v>-11.995244625912761</v>
      </c>
      <c r="K21" s="235" t="s">
        <v>451</v>
      </c>
      <c r="L21" s="344">
        <f>+L19-L20</f>
        <v>0</v>
      </c>
      <c r="M21" s="345">
        <f>+M19-M20</f>
        <v>0</v>
      </c>
      <c r="N21" s="345">
        <f>+N19-N20</f>
        <v>0</v>
      </c>
      <c r="O21" s="345">
        <f>+O19-O20</f>
        <v>0</v>
      </c>
      <c r="P21" s="346">
        <f>+P19-P20</f>
        <v>0</v>
      </c>
      <c r="Q21" s="7"/>
    </row>
    <row r="22" spans="2:17" ht="26.45" customHeight="1">
      <c r="B22" s="6"/>
      <c r="C22" s="774" t="s">
        <v>452</v>
      </c>
      <c r="D22" s="775"/>
      <c r="E22" s="775"/>
      <c r="F22" s="775"/>
      <c r="G22" s="775"/>
      <c r="H22" s="775"/>
      <c r="K22" s="774" t="s">
        <v>452</v>
      </c>
      <c r="L22" s="775"/>
      <c r="M22" s="775"/>
      <c r="N22" s="775"/>
      <c r="O22" s="775"/>
      <c r="P22" s="775"/>
      <c r="Q22" s="7"/>
    </row>
    <row r="23" spans="2:17" ht="57" customHeight="1">
      <c r="B23" s="6"/>
      <c r="C23" s="773" t="s">
        <v>453</v>
      </c>
      <c r="D23" s="757"/>
      <c r="E23" s="757"/>
      <c r="F23" s="757"/>
      <c r="G23" s="757"/>
      <c r="H23" s="758"/>
      <c r="K23" s="773"/>
      <c r="L23" s="757"/>
      <c r="M23" s="757"/>
      <c r="N23" s="757"/>
      <c r="O23" s="757"/>
      <c r="P23" s="758"/>
      <c r="Q23" s="7"/>
    </row>
    <row r="24" spans="2:17">
      <c r="B24" s="6"/>
      <c r="C24"/>
      <c r="Q24" s="7"/>
    </row>
    <row r="25" spans="2:17">
      <c r="B25" s="6"/>
      <c r="C25" s="136" t="s">
        <v>167</v>
      </c>
      <c r="D25" s="772" t="s">
        <v>348</v>
      </c>
      <c r="E25" s="770"/>
      <c r="F25" s="770"/>
      <c r="G25" s="770"/>
      <c r="H25" s="771"/>
      <c r="K25" s="136" t="s">
        <v>167</v>
      </c>
      <c r="L25" s="772" t="s">
        <v>348</v>
      </c>
      <c r="M25" s="770"/>
      <c r="N25" s="770"/>
      <c r="O25" s="770"/>
      <c r="P25" s="771"/>
      <c r="Q25" s="7"/>
    </row>
    <row r="26" spans="2:17">
      <c r="B26" s="6"/>
      <c r="C26" s="777" t="s">
        <v>376</v>
      </c>
      <c r="D26" s="769" t="s">
        <v>402</v>
      </c>
      <c r="E26" s="770"/>
      <c r="F26" s="770"/>
      <c r="G26" s="770"/>
      <c r="H26" s="771"/>
      <c r="K26" s="777" t="s">
        <v>376</v>
      </c>
      <c r="L26" s="769" t="s">
        <v>402</v>
      </c>
      <c r="M26" s="770"/>
      <c r="N26" s="770"/>
      <c r="O26" s="770"/>
      <c r="P26" s="771"/>
      <c r="Q26" s="7"/>
    </row>
    <row r="27" spans="2:17">
      <c r="B27" s="6"/>
      <c r="C27" s="755"/>
      <c r="D27" s="151">
        <v>2021</v>
      </c>
      <c r="E27" s="247">
        <v>2022</v>
      </c>
      <c r="F27" s="247">
        <v>2023</v>
      </c>
      <c r="G27" s="247">
        <v>2024</v>
      </c>
      <c r="H27" s="318">
        <v>2025</v>
      </c>
      <c r="K27" s="755"/>
      <c r="L27" s="151">
        <v>2021</v>
      </c>
      <c r="M27" s="247">
        <v>2022</v>
      </c>
      <c r="N27" s="247">
        <v>2023</v>
      </c>
      <c r="O27" s="247">
        <v>2024</v>
      </c>
      <c r="P27" s="318">
        <v>2025</v>
      </c>
      <c r="Q27" s="7"/>
    </row>
    <row r="28" spans="2:17" ht="26.45" customHeight="1">
      <c r="B28" s="6"/>
      <c r="C28" s="502" t="s">
        <v>446</v>
      </c>
      <c r="D28" s="332">
        <f t="shared" ref="D28:H29" si="0">+D10+D19</f>
        <v>277.3694496851345</v>
      </c>
      <c r="E28" s="333">
        <f t="shared" si="0"/>
        <v>292.71038018965891</v>
      </c>
      <c r="F28" s="333">
        <f t="shared" si="0"/>
        <v>316.96208969628054</v>
      </c>
      <c r="G28" s="333">
        <f t="shared" si="0"/>
        <v>335.04423155141643</v>
      </c>
      <c r="H28" s="334">
        <f t="shared" si="0"/>
        <v>336.27913192725964</v>
      </c>
      <c r="K28" s="502" t="s">
        <v>447</v>
      </c>
      <c r="L28" s="332">
        <f t="shared" ref="L28:P29" si="1">+L10+L19</f>
        <v>9.8006308298982265</v>
      </c>
      <c r="M28" s="333">
        <f t="shared" si="1"/>
        <v>10.32588470927764</v>
      </c>
      <c r="N28" s="333">
        <f t="shared" si="1"/>
        <v>10.934727599630994</v>
      </c>
      <c r="O28" s="333">
        <f t="shared" si="1"/>
        <v>11.307056885792811</v>
      </c>
      <c r="P28" s="334">
        <f t="shared" si="1"/>
        <v>11.583269356368039</v>
      </c>
      <c r="Q28" s="7"/>
    </row>
    <row r="29" spans="2:17" ht="26.45" customHeight="1">
      <c r="B29" s="382" t="s">
        <v>448</v>
      </c>
      <c r="C29" s="226" t="s">
        <v>449</v>
      </c>
      <c r="D29" s="252">
        <f t="shared" si="0"/>
        <v>269.3589122869671</v>
      </c>
      <c r="E29" s="253">
        <f t="shared" si="0"/>
        <v>278.97944938327311</v>
      </c>
      <c r="F29" s="253">
        <f t="shared" si="0"/>
        <v>328.57014936584636</v>
      </c>
      <c r="G29" s="253">
        <f t="shared" si="0"/>
        <v>344.71088198428669</v>
      </c>
      <c r="H29" s="319">
        <f t="shared" si="0"/>
        <v>374.42211086025026</v>
      </c>
      <c r="J29" s="343" t="s">
        <v>448</v>
      </c>
      <c r="K29" s="226" t="s">
        <v>450</v>
      </c>
      <c r="L29" s="252">
        <f t="shared" si="1"/>
        <v>9.8568077447999993</v>
      </c>
      <c r="M29" s="253">
        <f t="shared" si="1"/>
        <v>11.510584813199998</v>
      </c>
      <c r="N29" s="253">
        <f t="shared" si="1"/>
        <v>10.855604420000001</v>
      </c>
      <c r="O29" s="253">
        <f t="shared" si="1"/>
        <v>11.230053</v>
      </c>
      <c r="P29" s="319">
        <f t="shared" si="1"/>
        <v>11.770943000000001</v>
      </c>
      <c r="Q29" s="7"/>
    </row>
    <row r="30" spans="2:17" ht="26.45" customHeight="1">
      <c r="B30" s="6"/>
      <c r="C30" s="235" t="s">
        <v>451</v>
      </c>
      <c r="D30" s="344">
        <f>+D28-D29</f>
        <v>8.0105373981674006</v>
      </c>
      <c r="E30" s="345">
        <f>+E28-E29</f>
        <v>13.7309308063858</v>
      </c>
      <c r="F30" s="345">
        <f>+F28-F29</f>
        <v>-11.608059669565819</v>
      </c>
      <c r="G30" s="345">
        <f>+G28-G29</f>
        <v>-9.6666504328702558</v>
      </c>
      <c r="H30" s="346">
        <f>+H28-H29</f>
        <v>-38.142978932990616</v>
      </c>
      <c r="K30" s="235" t="s">
        <v>451</v>
      </c>
      <c r="L30" s="344">
        <f>+L28-L29</f>
        <v>-5.617691490177279E-2</v>
      </c>
      <c r="M30" s="345">
        <f>+M28-M29</f>
        <v>-1.1847001039223581</v>
      </c>
      <c r="N30" s="345">
        <f>+N28-N29</f>
        <v>7.912317963099369E-2</v>
      </c>
      <c r="O30" s="345">
        <f>+O28-O29</f>
        <v>7.7003885792811033E-2</v>
      </c>
      <c r="P30" s="346">
        <f>+P28-P29</f>
        <v>-0.18767364363196215</v>
      </c>
      <c r="Q30" s="7"/>
    </row>
    <row r="31" spans="2:17">
      <c r="B31" s="9"/>
      <c r="C31" s="10"/>
      <c r="D31" s="10"/>
      <c r="E31" s="10"/>
      <c r="F31" s="10"/>
      <c r="G31" s="10"/>
      <c r="H31" s="10"/>
      <c r="I31" s="10"/>
      <c r="J31" s="10"/>
      <c r="K31" s="10"/>
      <c r="L31" s="10"/>
      <c r="M31" s="10"/>
      <c r="N31" s="10"/>
      <c r="O31" s="10"/>
      <c r="P31" s="10"/>
      <c r="Q31" s="23"/>
    </row>
    <row r="35" spans="4:4">
      <c r="D35" s="521"/>
    </row>
  </sheetData>
  <mergeCells count="28">
    <mergeCell ref="B2:Q2"/>
    <mergeCell ref="K17:K18"/>
    <mergeCell ref="L17:P17"/>
    <mergeCell ref="K22:P22"/>
    <mergeCell ref="K23:P23"/>
    <mergeCell ref="L7:P7"/>
    <mergeCell ref="K8:K9"/>
    <mergeCell ref="L8:P8"/>
    <mergeCell ref="K13:P13"/>
    <mergeCell ref="K14:P14"/>
    <mergeCell ref="L16:P16"/>
    <mergeCell ref="C14:H14"/>
    <mergeCell ref="C13:H13"/>
    <mergeCell ref="D16:H16"/>
    <mergeCell ref="C17:C18"/>
    <mergeCell ref="D17:H17"/>
    <mergeCell ref="L25:P25"/>
    <mergeCell ref="C26:C27"/>
    <mergeCell ref="D26:H26"/>
    <mergeCell ref="K26:K27"/>
    <mergeCell ref="L26:P26"/>
    <mergeCell ref="C22:H22"/>
    <mergeCell ref="C23:H23"/>
    <mergeCell ref="D25:H25"/>
    <mergeCell ref="B3:C3"/>
    <mergeCell ref="D7:H7"/>
    <mergeCell ref="C8:C9"/>
    <mergeCell ref="D8:H8"/>
  </mergeCells>
  <hyperlinks>
    <hyperlink ref="B2" location="Contents!A1" display="Explanation for the differences between the forecast opex and actual opex, including for the opertating lease payments otherwise capitalised in accordance with the Transpower IM" xr:uid="{95A89756-C02A-4A60-A53C-44174D7975AF}"/>
  </hyperlinks>
  <pageMargins left="0.25" right="0.25" top="0.75" bottom="0.75" header="0.3" footer="0.3"/>
  <pageSetup paperSize="9" scale="54" fitToHeight="0" orientation="landscape" r:id="rId1"/>
  <headerFooter>
    <oddFooter>&amp;L&amp;F&amp;C&amp;D&amp;RSheet: &amp;A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BAB30-363A-4252-B1E9-A3FF0D12C354}">
  <sheetPr codeName="Sheet13">
    <tabColor rgb="FF92D050"/>
    <pageSetUpPr fitToPage="1"/>
  </sheetPr>
  <dimension ref="B2:K50"/>
  <sheetViews>
    <sheetView view="pageBreakPreview" zoomScaleNormal="100" zoomScaleSheetLayoutView="100" workbookViewId="0"/>
  </sheetViews>
  <sheetFormatPr defaultColWidth="9.140625" defaultRowHeight="15"/>
  <cols>
    <col min="1" max="1" width="9.140625" style="2"/>
    <col min="2" max="2" width="18.28515625" style="2" customWidth="1"/>
    <col min="3" max="3" width="13.5703125" style="2" customWidth="1"/>
    <col min="4" max="4" width="15.5703125" style="2" customWidth="1"/>
    <col min="5" max="5" width="15.7109375" style="2" customWidth="1"/>
    <col min="6" max="6" width="15.28515625" style="2" customWidth="1"/>
    <col min="7" max="7" width="13.85546875" style="2" customWidth="1"/>
    <col min="8" max="8" width="16" style="2" customWidth="1"/>
    <col min="9" max="9" width="18.140625" style="2" customWidth="1"/>
    <col min="10" max="16384" width="9.140625" style="2"/>
  </cols>
  <sheetData>
    <row r="2" spans="2:10" ht="18.75">
      <c r="B2" s="742" t="s">
        <v>454</v>
      </c>
      <c r="C2" s="743"/>
      <c r="D2" s="743"/>
      <c r="E2" s="743"/>
      <c r="F2" s="743"/>
      <c r="G2" s="743"/>
      <c r="H2" s="743"/>
      <c r="I2" s="743"/>
      <c r="J2" s="749"/>
    </row>
    <row r="3" spans="2:10" ht="15" customHeight="1">
      <c r="B3" s="711" t="s">
        <v>37</v>
      </c>
      <c r="C3" s="776"/>
      <c r="D3" s="776"/>
      <c r="E3" s="776"/>
      <c r="F3" s="776"/>
      <c r="G3" s="776"/>
      <c r="J3" s="7"/>
    </row>
    <row r="4" spans="2:10" ht="15" customHeight="1">
      <c r="B4" s="347"/>
      <c r="C4" s="3"/>
      <c r="D4" s="3"/>
      <c r="E4" s="3"/>
      <c r="F4" s="3"/>
      <c r="G4" s="3"/>
      <c r="H4" s="3"/>
      <c r="I4" s="3"/>
      <c r="J4" s="7"/>
    </row>
    <row r="5" spans="2:10">
      <c r="B5" s="24" t="s">
        <v>455</v>
      </c>
      <c r="J5" s="7"/>
    </row>
    <row r="6" spans="2:10">
      <c r="B6" s="24"/>
      <c r="J6" s="7"/>
    </row>
    <row r="7" spans="2:10">
      <c r="B7" s="6"/>
      <c r="C7" s="136" t="s">
        <v>167</v>
      </c>
      <c r="J7" s="7"/>
    </row>
    <row r="8" spans="2:10" ht="106.5" customHeight="1">
      <c r="B8" s="6"/>
      <c r="C8" s="456" t="s">
        <v>456</v>
      </c>
      <c r="D8" s="457" t="s">
        <v>457</v>
      </c>
      <c r="E8" s="457" t="s">
        <v>458</v>
      </c>
      <c r="F8" s="457" t="s">
        <v>459</v>
      </c>
      <c r="G8" s="457" t="s">
        <v>460</v>
      </c>
      <c r="H8" s="457" t="s">
        <v>461</v>
      </c>
      <c r="I8" s="457" t="s">
        <v>462</v>
      </c>
      <c r="J8" s="7"/>
    </row>
    <row r="9" spans="2:10">
      <c r="B9" s="33" t="s">
        <v>463</v>
      </c>
      <c r="C9" s="34" t="s">
        <v>179</v>
      </c>
      <c r="D9" s="62" t="s">
        <v>180</v>
      </c>
      <c r="E9" s="34" t="s">
        <v>182</v>
      </c>
      <c r="F9" s="34" t="s">
        <v>181</v>
      </c>
      <c r="G9" s="34" t="s">
        <v>183</v>
      </c>
      <c r="H9" s="62" t="s">
        <v>464</v>
      </c>
      <c r="I9" s="62" t="s">
        <v>465</v>
      </c>
      <c r="J9" s="7"/>
    </row>
    <row r="10" spans="2:10">
      <c r="B10" s="6"/>
      <c r="C10" s="279">
        <v>44377</v>
      </c>
      <c r="D10" s="458">
        <v>0</v>
      </c>
      <c r="E10" s="459"/>
      <c r="F10" s="459"/>
      <c r="G10" s="459"/>
      <c r="H10" s="459"/>
      <c r="I10" s="283">
        <f>+SUM(D10:H10)</f>
        <v>0</v>
      </c>
      <c r="J10" s="7"/>
    </row>
    <row r="11" spans="2:10">
      <c r="B11" s="6"/>
      <c r="C11" s="280">
        <v>44742</v>
      </c>
      <c r="D11" s="460">
        <v>0</v>
      </c>
      <c r="E11" s="460">
        <v>0</v>
      </c>
      <c r="F11" s="461"/>
      <c r="G11" s="461"/>
      <c r="H11" s="461"/>
      <c r="I11" s="284">
        <f t="shared" ref="I11:I14" si="0">+SUM(D11:H11)</f>
        <v>0</v>
      </c>
      <c r="J11" s="7"/>
    </row>
    <row r="12" spans="2:10">
      <c r="B12" s="6"/>
      <c r="C12" s="279">
        <v>45107</v>
      </c>
      <c r="D12" s="458">
        <v>0</v>
      </c>
      <c r="E12" s="458">
        <v>0</v>
      </c>
      <c r="F12" s="458">
        <v>0</v>
      </c>
      <c r="G12" s="459"/>
      <c r="H12" s="459"/>
      <c r="I12" s="283">
        <f t="shared" si="0"/>
        <v>0</v>
      </c>
      <c r="J12" s="7"/>
    </row>
    <row r="13" spans="2:10">
      <c r="B13" s="6"/>
      <c r="C13" s="280">
        <v>45473</v>
      </c>
      <c r="D13" s="460">
        <v>0</v>
      </c>
      <c r="E13" s="460">
        <v>0</v>
      </c>
      <c r="F13" s="460">
        <v>0</v>
      </c>
      <c r="G13" s="460">
        <v>0</v>
      </c>
      <c r="H13" s="461"/>
      <c r="I13" s="284">
        <f t="shared" si="0"/>
        <v>0</v>
      </c>
      <c r="J13" s="7"/>
    </row>
    <row r="14" spans="2:10">
      <c r="B14" s="6"/>
      <c r="C14" s="281">
        <v>45838</v>
      </c>
      <c r="D14" s="462">
        <v>0</v>
      </c>
      <c r="E14" s="462">
        <v>0</v>
      </c>
      <c r="F14" s="462">
        <v>0</v>
      </c>
      <c r="G14" s="462">
        <v>0</v>
      </c>
      <c r="H14" s="462">
        <v>0</v>
      </c>
      <c r="I14" s="285">
        <f t="shared" si="0"/>
        <v>0</v>
      </c>
      <c r="J14" s="7"/>
    </row>
    <row r="15" spans="2:10">
      <c r="B15" s="6"/>
      <c r="J15" s="7"/>
    </row>
    <row r="16" spans="2:10">
      <c r="B16" s="24" t="s">
        <v>466</v>
      </c>
      <c r="J16" s="7"/>
    </row>
    <row r="17" spans="2:11">
      <c r="B17" s="6"/>
      <c r="C17" s="136" t="s">
        <v>167</v>
      </c>
      <c r="J17" s="7"/>
    </row>
    <row r="18" spans="2:11" ht="126" customHeight="1">
      <c r="B18" s="6"/>
      <c r="C18" s="291" t="s">
        <v>456</v>
      </c>
      <c r="D18" s="86" t="s">
        <v>467</v>
      </c>
      <c r="E18" s="86" t="s">
        <v>468</v>
      </c>
      <c r="F18" s="86" t="s">
        <v>469</v>
      </c>
      <c r="G18" s="86" t="s">
        <v>470</v>
      </c>
      <c r="H18" s="86" t="s">
        <v>471</v>
      </c>
      <c r="I18" s="86" t="s">
        <v>472</v>
      </c>
      <c r="J18" s="7"/>
    </row>
    <row r="19" spans="2:11">
      <c r="B19" s="33" t="s">
        <v>473</v>
      </c>
      <c r="C19" s="34" t="s">
        <v>179</v>
      </c>
      <c r="D19" s="62" t="s">
        <v>180</v>
      </c>
      <c r="E19" s="34" t="s">
        <v>182</v>
      </c>
      <c r="F19" s="34" t="s">
        <v>181</v>
      </c>
      <c r="G19" s="34" t="s">
        <v>183</v>
      </c>
      <c r="H19" s="62" t="s">
        <v>464</v>
      </c>
      <c r="I19" s="62" t="s">
        <v>465</v>
      </c>
      <c r="J19" s="7"/>
    </row>
    <row r="20" spans="2:11">
      <c r="B20" s="6"/>
      <c r="C20" s="279">
        <v>44377</v>
      </c>
      <c r="D20" s="458">
        <v>206.7</v>
      </c>
      <c r="E20" s="459"/>
      <c r="F20" s="459"/>
      <c r="G20" s="459"/>
      <c r="H20" s="459"/>
      <c r="I20" s="286">
        <f>+SUM(D20:H20)</f>
        <v>206.7</v>
      </c>
      <c r="J20" s="7"/>
      <c r="K20" s="624"/>
    </row>
    <row r="21" spans="2:11">
      <c r="B21" s="6"/>
      <c r="C21" s="280">
        <v>44742</v>
      </c>
      <c r="D21" s="460">
        <f>266.8</f>
        <v>266.8</v>
      </c>
      <c r="E21" s="460">
        <v>0</v>
      </c>
      <c r="F21" s="461"/>
      <c r="G21" s="461"/>
      <c r="H21" s="461"/>
      <c r="I21" s="287">
        <f t="shared" ref="I21:I24" si="1">+SUM(D21:H21)</f>
        <v>266.8</v>
      </c>
      <c r="J21" s="7"/>
    </row>
    <row r="22" spans="2:11">
      <c r="B22" s="6"/>
      <c r="C22" s="279">
        <v>45107</v>
      </c>
      <c r="D22" s="458">
        <v>303.3</v>
      </c>
      <c r="E22" s="458">
        <v>0</v>
      </c>
      <c r="F22" s="458">
        <v>0</v>
      </c>
      <c r="G22" s="459"/>
      <c r="H22" s="458">
        <v>5.4231425375768998</v>
      </c>
      <c r="I22" s="286">
        <f t="shared" si="1"/>
        <v>308.7231425375769</v>
      </c>
      <c r="J22" s="7"/>
    </row>
    <row r="23" spans="2:11">
      <c r="B23" s="6"/>
      <c r="C23" s="280">
        <v>45473</v>
      </c>
      <c r="D23" s="460">
        <v>274.8</v>
      </c>
      <c r="E23" s="460">
        <v>0</v>
      </c>
      <c r="F23" s="460">
        <v>0</v>
      </c>
      <c r="G23" s="460">
        <v>0</v>
      </c>
      <c r="H23" s="460">
        <v>19.926946421758455</v>
      </c>
      <c r="I23" s="287">
        <f t="shared" si="1"/>
        <v>294.72694642175844</v>
      </c>
      <c r="J23" s="7"/>
    </row>
    <row r="24" spans="2:11">
      <c r="B24" s="6"/>
      <c r="C24" s="281">
        <v>45838</v>
      </c>
      <c r="D24" s="462">
        <v>347.2</v>
      </c>
      <c r="E24" s="462">
        <v>0</v>
      </c>
      <c r="F24" s="462">
        <v>0</v>
      </c>
      <c r="G24" s="462">
        <v>0</v>
      </c>
      <c r="H24" s="462">
        <v>10.173886259599264</v>
      </c>
      <c r="I24" s="288">
        <f t="shared" si="1"/>
        <v>357.37388625959926</v>
      </c>
      <c r="J24" s="7"/>
    </row>
    <row r="25" spans="2:11">
      <c r="B25" s="6"/>
      <c r="J25" s="7"/>
    </row>
    <row r="26" spans="2:11">
      <c r="B26" s="24" t="s">
        <v>474</v>
      </c>
      <c r="J26" s="7"/>
    </row>
    <row r="27" spans="2:11">
      <c r="B27" s="6"/>
      <c r="C27" s="136" t="s">
        <v>167</v>
      </c>
      <c r="J27" s="7"/>
    </row>
    <row r="28" spans="2:11" ht="103.5" customHeight="1">
      <c r="B28" s="6"/>
      <c r="C28" s="291" t="s">
        <v>456</v>
      </c>
      <c r="D28" s="86" t="s">
        <v>457</v>
      </c>
      <c r="E28" s="86" t="s">
        <v>458</v>
      </c>
      <c r="F28" s="86" t="s">
        <v>459</v>
      </c>
      <c r="G28" s="86" t="s">
        <v>460</v>
      </c>
      <c r="H28" s="86" t="s">
        <v>461</v>
      </c>
      <c r="I28" s="86" t="s">
        <v>462</v>
      </c>
      <c r="J28" s="7"/>
    </row>
    <row r="29" spans="2:11">
      <c r="B29" s="33" t="s">
        <v>475</v>
      </c>
      <c r="C29" s="34" t="s">
        <v>179</v>
      </c>
      <c r="D29" s="62" t="s">
        <v>180</v>
      </c>
      <c r="E29" s="34" t="s">
        <v>182</v>
      </c>
      <c r="F29" s="34" t="s">
        <v>181</v>
      </c>
      <c r="G29" s="34" t="s">
        <v>183</v>
      </c>
      <c r="H29" s="62" t="s">
        <v>464</v>
      </c>
      <c r="I29" s="62" t="s">
        <v>465</v>
      </c>
      <c r="J29" s="7"/>
    </row>
    <row r="30" spans="2:11">
      <c r="B30" s="6"/>
      <c r="C30" s="279">
        <v>44377</v>
      </c>
      <c r="D30" s="458">
        <v>0</v>
      </c>
      <c r="E30" s="459"/>
      <c r="F30" s="459"/>
      <c r="G30" s="459"/>
      <c r="H30" s="459"/>
      <c r="I30" s="283">
        <f>+SUM(D30:H30)</f>
        <v>0</v>
      </c>
      <c r="J30" s="7"/>
    </row>
    <row r="31" spans="2:11">
      <c r="B31" s="6"/>
      <c r="C31" s="280">
        <v>44742</v>
      </c>
      <c r="D31" s="460">
        <v>0</v>
      </c>
      <c r="E31" s="460">
        <v>0</v>
      </c>
      <c r="F31" s="461"/>
      <c r="G31" s="461"/>
      <c r="H31" s="461"/>
      <c r="I31" s="284">
        <f t="shared" ref="I31:I34" si="2">+SUM(D31:H31)</f>
        <v>0</v>
      </c>
      <c r="J31" s="7"/>
    </row>
    <row r="32" spans="2:11">
      <c r="B32" s="6"/>
      <c r="C32" s="279">
        <v>45107</v>
      </c>
      <c r="D32" s="458">
        <v>0</v>
      </c>
      <c r="E32" s="458">
        <v>0</v>
      </c>
      <c r="F32" s="458">
        <v>0</v>
      </c>
      <c r="G32" s="459"/>
      <c r="H32" s="459"/>
      <c r="I32" s="283">
        <f t="shared" si="2"/>
        <v>0</v>
      </c>
      <c r="J32" s="7"/>
    </row>
    <row r="33" spans="2:11">
      <c r="B33" s="6"/>
      <c r="C33" s="280">
        <v>45473</v>
      </c>
      <c r="D33" s="460">
        <v>0</v>
      </c>
      <c r="E33" s="460">
        <v>0</v>
      </c>
      <c r="F33" s="460">
        <v>0</v>
      </c>
      <c r="G33" s="460">
        <v>0</v>
      </c>
      <c r="H33" s="461"/>
      <c r="I33" s="284">
        <f t="shared" si="2"/>
        <v>0</v>
      </c>
      <c r="J33" s="7"/>
    </row>
    <row r="34" spans="2:11">
      <c r="B34" s="6"/>
      <c r="C34" s="281">
        <v>45838</v>
      </c>
      <c r="D34" s="462">
        <v>0</v>
      </c>
      <c r="E34" s="462">
        <v>0</v>
      </c>
      <c r="F34" s="462">
        <v>0</v>
      </c>
      <c r="G34" s="462">
        <v>0</v>
      </c>
      <c r="H34" s="462">
        <v>0</v>
      </c>
      <c r="I34" s="285">
        <f t="shared" si="2"/>
        <v>0</v>
      </c>
      <c r="J34" s="7"/>
    </row>
    <row r="35" spans="2:11">
      <c r="B35" s="6"/>
      <c r="J35" s="7"/>
    </row>
    <row r="36" spans="2:11">
      <c r="B36" s="24" t="s">
        <v>476</v>
      </c>
      <c r="J36" s="7"/>
    </row>
    <row r="37" spans="2:11">
      <c r="B37" s="6"/>
      <c r="C37" s="136" t="s">
        <v>167</v>
      </c>
      <c r="J37" s="7"/>
      <c r="K37" s="620"/>
    </row>
    <row r="38" spans="2:11" ht="120.75" customHeight="1">
      <c r="B38" s="6"/>
      <c r="C38" s="291" t="s">
        <v>456</v>
      </c>
      <c r="D38" s="86" t="s">
        <v>467</v>
      </c>
      <c r="E38" s="86" t="s">
        <v>468</v>
      </c>
      <c r="F38" s="86" t="s">
        <v>469</v>
      </c>
      <c r="G38" s="86" t="s">
        <v>470</v>
      </c>
      <c r="H38" s="86" t="s">
        <v>471</v>
      </c>
      <c r="I38" s="86" t="s">
        <v>472</v>
      </c>
      <c r="J38" s="7"/>
    </row>
    <row r="39" spans="2:11">
      <c r="B39" s="33" t="s">
        <v>477</v>
      </c>
      <c r="C39" s="34" t="s">
        <v>179</v>
      </c>
      <c r="D39" s="62" t="s">
        <v>180</v>
      </c>
      <c r="E39" s="34" t="s">
        <v>182</v>
      </c>
      <c r="F39" s="34" t="s">
        <v>181</v>
      </c>
      <c r="G39" s="34" t="s">
        <v>183</v>
      </c>
      <c r="H39" s="62" t="s">
        <v>464</v>
      </c>
      <c r="I39" s="62" t="s">
        <v>465</v>
      </c>
      <c r="J39" s="7"/>
    </row>
    <row r="40" spans="2:11">
      <c r="B40" s="6"/>
      <c r="C40" s="279">
        <v>44377</v>
      </c>
      <c r="D40" s="458">
        <v>222.9</v>
      </c>
      <c r="E40" s="459"/>
      <c r="F40" s="459"/>
      <c r="G40" s="459"/>
      <c r="H40" s="459"/>
      <c r="I40" s="286">
        <f>+SUM(D40:H40)</f>
        <v>222.9</v>
      </c>
      <c r="J40" s="7"/>
    </row>
    <row r="41" spans="2:11">
      <c r="B41" s="6"/>
      <c r="C41" s="280">
        <v>44742</v>
      </c>
      <c r="D41" s="460">
        <f>277.3</f>
        <v>277.3</v>
      </c>
      <c r="E41" s="460">
        <v>0</v>
      </c>
      <c r="F41" s="461"/>
      <c r="G41" s="460">
        <f>+'20'!Q16</f>
        <v>2.0233910000000002</v>
      </c>
      <c r="H41" s="461"/>
      <c r="I41" s="287">
        <f t="shared" ref="I41:I44" si="3">+SUM(D41:H41)</f>
        <v>279.32339100000002</v>
      </c>
      <c r="J41" s="7"/>
    </row>
    <row r="42" spans="2:11">
      <c r="B42" s="6"/>
      <c r="C42" s="279">
        <v>45107</v>
      </c>
      <c r="D42" s="458">
        <v>273.89999999999998</v>
      </c>
      <c r="E42" s="458">
        <v>0</v>
      </c>
      <c r="F42" s="458">
        <v>0</v>
      </c>
      <c r="G42" s="459"/>
      <c r="H42" s="458">
        <f>'20'!R16+'20'!R20</f>
        <v>19.799569537577263</v>
      </c>
      <c r="I42" s="286">
        <f t="shared" si="3"/>
        <v>293.69956953757725</v>
      </c>
      <c r="J42" s="7"/>
      <c r="K42" s="620"/>
    </row>
    <row r="43" spans="2:11">
      <c r="B43" s="6"/>
      <c r="C43" s="280">
        <v>45473</v>
      </c>
      <c r="D43" s="460">
        <v>280</v>
      </c>
      <c r="E43" s="460">
        <v>0</v>
      </c>
      <c r="F43" s="460">
        <v>0</v>
      </c>
      <c r="G43" s="460">
        <v>0</v>
      </c>
      <c r="H43" s="460">
        <f>'20'!S20+'20'!S17</f>
        <v>17.734817726879349</v>
      </c>
      <c r="I43" s="287">
        <f t="shared" si="3"/>
        <v>297.73481772687933</v>
      </c>
      <c r="J43" s="7"/>
      <c r="K43" s="620"/>
    </row>
    <row r="44" spans="2:11">
      <c r="B44" s="6"/>
      <c r="C44" s="281">
        <v>45838</v>
      </c>
      <c r="D44" s="462">
        <v>300.2</v>
      </c>
      <c r="E44" s="462">
        <v>0</v>
      </c>
      <c r="F44" s="462">
        <v>0</v>
      </c>
      <c r="G44" s="462">
        <v>0</v>
      </c>
      <c r="H44" s="462">
        <f>'20'!T20+'20'!T17</f>
        <v>3.5554765028585087</v>
      </c>
      <c r="I44" s="288">
        <f t="shared" si="3"/>
        <v>303.75547650285847</v>
      </c>
      <c r="J44" s="7"/>
      <c r="K44" s="620"/>
    </row>
    <row r="45" spans="2:11" ht="15" customHeight="1">
      <c r="B45" s="6"/>
      <c r="J45" s="7"/>
    </row>
    <row r="46" spans="2:11" ht="153" customHeight="1">
      <c r="B46" s="6"/>
      <c r="C46" s="782" t="s">
        <v>478</v>
      </c>
      <c r="D46" s="782"/>
      <c r="E46" s="782"/>
      <c r="F46" s="782"/>
      <c r="G46" s="782"/>
      <c r="H46" s="782"/>
      <c r="I46" s="782"/>
      <c r="J46" s="7"/>
    </row>
    <row r="47" spans="2:11" ht="38.25" customHeight="1">
      <c r="B47" s="736" t="s">
        <v>479</v>
      </c>
      <c r="C47" s="762"/>
      <c r="D47" s="762"/>
      <c r="E47" s="762"/>
      <c r="F47" s="762"/>
      <c r="G47" s="762"/>
      <c r="H47" s="762"/>
      <c r="I47" s="762"/>
      <c r="J47" s="7"/>
    </row>
    <row r="48" spans="2:11">
      <c r="B48" s="6" t="s">
        <v>38</v>
      </c>
      <c r="J48" s="7"/>
    </row>
    <row r="49" spans="2:10" ht="22.5" customHeight="1">
      <c r="B49" s="6"/>
      <c r="C49" s="779" t="s">
        <v>480</v>
      </c>
      <c r="D49" s="780"/>
      <c r="E49" s="780"/>
      <c r="F49" s="780"/>
      <c r="G49" s="780"/>
      <c r="H49" s="780"/>
      <c r="I49" s="781"/>
      <c r="J49" s="7"/>
    </row>
    <row r="50" spans="2:10">
      <c r="B50" s="9"/>
      <c r="C50" s="10"/>
      <c r="D50" s="10"/>
      <c r="E50" s="10"/>
      <c r="F50" s="10"/>
      <c r="G50" s="10"/>
      <c r="H50" s="10"/>
      <c r="I50" s="10"/>
      <c r="J50" s="23"/>
    </row>
  </sheetData>
  <mergeCells count="5">
    <mergeCell ref="B3:G3"/>
    <mergeCell ref="B47:I47"/>
    <mergeCell ref="C49:I49"/>
    <mergeCell ref="B2:J2"/>
    <mergeCell ref="C46:I46"/>
  </mergeCells>
  <hyperlinks>
    <hyperlink ref="B2" location="Contents!A1" display="Updated summaries of the approved base capex as set out in Schedules C1 to C4" xr:uid="{76F8561A-1B56-4A5E-B1AD-E3F13D0A89A0}"/>
    <hyperlink ref="B47:I47" location="Contents!A1" display="Details of any changes to Transpower's policy of hedging capital expenditure during the disclosure year" xr:uid="{84017F40-4D20-43F5-900F-C0A9C343E432}"/>
  </hyperlinks>
  <pageMargins left="0.70866141732283472" right="0.70866141732283472" top="0.74803149606299213" bottom="0.74803149606299213" header="0.31496062992125984" footer="0.31496062992125984"/>
  <pageSetup paperSize="9" scale="58" orientation="portrait" r:id="rId1"/>
  <headerFooter>
    <oddFooter>&amp;L&amp;F&amp;C&amp;D&amp;RSheet: &amp;A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D3DA5-8C80-44DC-B5CD-20755A14E3F2}">
  <sheetPr codeName="Sheet14">
    <tabColor theme="4" tint="-0.249977111117893"/>
    <pageSetUpPr fitToPage="1"/>
  </sheetPr>
  <dimension ref="B2:L41"/>
  <sheetViews>
    <sheetView view="pageBreakPreview" zoomScaleNormal="100" zoomScaleSheetLayoutView="100" workbookViewId="0"/>
  </sheetViews>
  <sheetFormatPr defaultColWidth="9.140625" defaultRowHeight="15"/>
  <cols>
    <col min="1" max="1" width="9.140625" style="2" customWidth="1"/>
    <col min="2" max="2" width="6.42578125" style="2" customWidth="1"/>
    <col min="3" max="3" width="49.140625" style="2" customWidth="1"/>
    <col min="4" max="4" width="9.85546875" style="2" customWidth="1"/>
    <col min="5" max="5" width="9.140625" style="2" bestFit="1" customWidth="1"/>
    <col min="6" max="6" width="11.5703125" style="2" customWidth="1"/>
    <col min="7" max="7" width="10.28515625" style="2" bestFit="1" customWidth="1"/>
    <col min="8" max="8" width="10.85546875" style="2" bestFit="1" customWidth="1"/>
    <col min="9" max="9" width="16.140625" style="2" bestFit="1" customWidth="1"/>
    <col min="10" max="10" width="10.5703125" style="2" bestFit="1" customWidth="1"/>
    <col min="11" max="11" width="16.28515625" style="2" bestFit="1" customWidth="1"/>
    <col min="12" max="12" width="9.85546875" style="2" bestFit="1" customWidth="1"/>
    <col min="13" max="13" width="16.7109375" style="2" bestFit="1" customWidth="1"/>
    <col min="14" max="16384" width="9.140625" style="2"/>
  </cols>
  <sheetData>
    <row r="2" spans="2:12" ht="18.75">
      <c r="B2" s="742" t="s">
        <v>481</v>
      </c>
      <c r="C2" s="743"/>
      <c r="D2" s="743"/>
      <c r="E2" s="743"/>
      <c r="F2" s="743"/>
      <c r="G2" s="743"/>
      <c r="H2" s="749"/>
    </row>
    <row r="3" spans="2:12" ht="43.5" customHeight="1">
      <c r="B3" s="711" t="s">
        <v>482</v>
      </c>
      <c r="C3" s="712"/>
      <c r="D3" s="712"/>
      <c r="E3" s="712"/>
      <c r="F3" s="712"/>
      <c r="G3" s="712"/>
      <c r="H3" s="7"/>
    </row>
    <row r="4" spans="2:12">
      <c r="B4" s="6"/>
      <c r="H4" s="7"/>
    </row>
    <row r="5" spans="2:12">
      <c r="B5" s="6"/>
      <c r="H5" s="7"/>
    </row>
    <row r="6" spans="2:12">
      <c r="B6" s="6"/>
      <c r="H6" s="7"/>
    </row>
    <row r="7" spans="2:12">
      <c r="B7" s="6"/>
      <c r="C7" s="136" t="s">
        <v>167</v>
      </c>
      <c r="D7" s="136"/>
      <c r="H7" s="7"/>
    </row>
    <row r="8" spans="2:12">
      <c r="B8" s="6"/>
      <c r="C8" s="75"/>
      <c r="D8" s="214" t="s">
        <v>354</v>
      </c>
      <c r="E8" s="146" t="s">
        <v>346</v>
      </c>
      <c r="F8" s="147" t="s">
        <v>347</v>
      </c>
      <c r="G8" s="148" t="s">
        <v>348</v>
      </c>
      <c r="H8" s="7"/>
    </row>
    <row r="9" spans="2:12">
      <c r="B9" s="6"/>
      <c r="C9" s="42" t="s">
        <v>483</v>
      </c>
      <c r="D9" s="526"/>
      <c r="E9" s="361">
        <v>4542.6955517097313</v>
      </c>
      <c r="F9" s="361">
        <v>507.51672579225914</v>
      </c>
      <c r="G9" s="149">
        <f>+E9+F9</f>
        <v>5050.2122775019907</v>
      </c>
      <c r="H9" s="7"/>
      <c r="I9" s="682"/>
    </row>
    <row r="10" spans="2:12" ht="15" customHeight="1">
      <c r="B10" s="212" t="s">
        <v>484</v>
      </c>
      <c r="C10" s="150" t="s">
        <v>485</v>
      </c>
      <c r="D10" s="525"/>
      <c r="E10" s="588">
        <v>0</v>
      </c>
      <c r="F10" s="588">
        <v>0</v>
      </c>
      <c r="G10" s="314">
        <f>+E10+F10</f>
        <v>0</v>
      </c>
      <c r="H10" s="7"/>
    </row>
    <row r="11" spans="2:12">
      <c r="B11" s="6"/>
      <c r="C11" s="6"/>
      <c r="D11" s="527"/>
      <c r="E11" s="589"/>
      <c r="F11" s="589"/>
      <c r="G11" s="314"/>
      <c r="H11" s="7"/>
    </row>
    <row r="12" spans="2:12">
      <c r="B12" s="212" t="s">
        <v>357</v>
      </c>
      <c r="C12" s="6" t="s">
        <v>190</v>
      </c>
      <c r="D12" s="527"/>
      <c r="E12" s="359">
        <v>31.32691756286669</v>
      </c>
      <c r="F12" s="359">
        <v>0.90759278416666656</v>
      </c>
      <c r="G12" s="314">
        <f>+E12+F12</f>
        <v>32.234510347033357</v>
      </c>
      <c r="H12" s="7"/>
    </row>
    <row r="13" spans="2:12">
      <c r="B13" s="212" t="s">
        <v>357</v>
      </c>
      <c r="C13" s="12" t="s">
        <v>193</v>
      </c>
      <c r="D13" s="528"/>
      <c r="E13" s="590">
        <v>25.572268980394831</v>
      </c>
      <c r="F13" s="590">
        <v>0.84063910613849757</v>
      </c>
      <c r="G13" s="313">
        <f>+E13+F13</f>
        <v>26.412908086533328</v>
      </c>
      <c r="H13" s="7"/>
      <c r="L13" s="522"/>
    </row>
    <row r="14" spans="2:12">
      <c r="B14" s="212" t="s">
        <v>357</v>
      </c>
      <c r="C14" s="6" t="s">
        <v>196</v>
      </c>
      <c r="D14" s="527"/>
      <c r="E14" s="359">
        <v>15.809712921966662</v>
      </c>
      <c r="F14" s="359">
        <v>1.211744874166667</v>
      </c>
      <c r="G14" s="314">
        <f t="shared" ref="G14:G23" si="0">+E14+F14</f>
        <v>17.02145779613333</v>
      </c>
      <c r="H14" s="7"/>
    </row>
    <row r="15" spans="2:12">
      <c r="B15" s="212" t="s">
        <v>357</v>
      </c>
      <c r="C15" s="12" t="s">
        <v>199</v>
      </c>
      <c r="D15" s="528"/>
      <c r="E15" s="590">
        <v>23.149101430758225</v>
      </c>
      <c r="F15" s="590">
        <v>1.3322894855751175</v>
      </c>
      <c r="G15" s="313">
        <f t="shared" si="0"/>
        <v>24.481390916333343</v>
      </c>
      <c r="H15" s="7"/>
    </row>
    <row r="16" spans="2:12">
      <c r="B16" s="212" t="s">
        <v>357</v>
      </c>
      <c r="C16" s="6" t="s">
        <v>202</v>
      </c>
      <c r="D16" s="527"/>
      <c r="E16" s="359">
        <v>23.460069672766672</v>
      </c>
      <c r="F16" s="359">
        <v>3.6943664941666667</v>
      </c>
      <c r="G16" s="314">
        <f t="shared" si="0"/>
        <v>27.154436166933337</v>
      </c>
      <c r="H16" s="7"/>
    </row>
    <row r="17" spans="2:11">
      <c r="B17" s="212" t="s">
        <v>357</v>
      </c>
      <c r="C17" s="12" t="s">
        <v>205</v>
      </c>
      <c r="D17" s="528"/>
      <c r="E17" s="590">
        <v>21.081501419423013</v>
      </c>
      <c r="F17" s="590">
        <v>9.6454232181103308</v>
      </c>
      <c r="G17" s="313">
        <f t="shared" si="0"/>
        <v>30.726924637533344</v>
      </c>
      <c r="H17" s="7"/>
    </row>
    <row r="18" spans="2:11">
      <c r="B18" s="212" t="s">
        <v>357</v>
      </c>
      <c r="C18" s="6" t="s">
        <v>208</v>
      </c>
      <c r="D18" s="527"/>
      <c r="E18" s="359">
        <v>32.752416199166653</v>
      </c>
      <c r="F18" s="359">
        <v>0.18165567416666667</v>
      </c>
      <c r="G18" s="314">
        <f t="shared" si="0"/>
        <v>32.934071873333323</v>
      </c>
      <c r="H18" s="7"/>
    </row>
    <row r="19" spans="2:11">
      <c r="B19" s="212" t="s">
        <v>357</v>
      </c>
      <c r="C19" s="12" t="s">
        <v>211</v>
      </c>
      <c r="D19" s="528"/>
      <c r="E19" s="590">
        <v>41.723179888225914</v>
      </c>
      <c r="F19" s="590">
        <v>2.3020143971074503</v>
      </c>
      <c r="G19" s="313">
        <f t="shared" si="0"/>
        <v>44.025194285333363</v>
      </c>
      <c r="H19" s="7"/>
    </row>
    <row r="20" spans="2:11">
      <c r="B20" s="212" t="s">
        <v>357</v>
      </c>
      <c r="C20" s="6" t="s">
        <v>214</v>
      </c>
      <c r="D20" s="527"/>
      <c r="E20" s="359">
        <v>29.296678222107463</v>
      </c>
      <c r="F20" s="359">
        <v>9.6796892112258828</v>
      </c>
      <c r="G20" s="314">
        <f t="shared" si="0"/>
        <v>38.976367433333344</v>
      </c>
      <c r="H20" s="7"/>
    </row>
    <row r="21" spans="2:11">
      <c r="B21" s="212" t="s">
        <v>357</v>
      </c>
      <c r="C21" s="12" t="s">
        <v>217</v>
      </c>
      <c r="D21" s="528"/>
      <c r="E21" s="590">
        <v>73.278390232934299</v>
      </c>
      <c r="F21" s="590">
        <v>0.48877024289906101</v>
      </c>
      <c r="G21" s="313">
        <f t="shared" si="0"/>
        <v>73.767160475833364</v>
      </c>
      <c r="H21" s="7"/>
    </row>
    <row r="22" spans="2:11">
      <c r="B22" s="212" t="s">
        <v>357</v>
      </c>
      <c r="C22" s="6" t="s">
        <v>220</v>
      </c>
      <c r="D22" s="527"/>
      <c r="E22" s="359">
        <v>25.331383021566655</v>
      </c>
      <c r="F22" s="359">
        <v>0.96731421416666663</v>
      </c>
      <c r="G22" s="314">
        <f t="shared" si="0"/>
        <v>26.298697235733322</v>
      </c>
      <c r="H22" s="7"/>
    </row>
    <row r="23" spans="2:11">
      <c r="B23" s="212" t="s">
        <v>357</v>
      </c>
      <c r="C23" s="12" t="s">
        <v>223</v>
      </c>
      <c r="D23" s="528"/>
      <c r="E23" s="590">
        <v>66.936447186123004</v>
      </c>
      <c r="F23" s="590">
        <v>4.5405963781103287</v>
      </c>
      <c r="G23" s="313">
        <f t="shared" si="0"/>
        <v>71.477043564233327</v>
      </c>
      <c r="H23" s="7"/>
    </row>
    <row r="24" spans="2:11">
      <c r="B24" s="212"/>
      <c r="C24" s="6"/>
      <c r="D24" s="527"/>
      <c r="E24" s="143"/>
      <c r="F24" s="143"/>
      <c r="G24" s="314"/>
      <c r="H24" s="7"/>
    </row>
    <row r="25" spans="2:11">
      <c r="B25" s="212" t="s">
        <v>448</v>
      </c>
      <c r="C25" s="6" t="s">
        <v>254</v>
      </c>
      <c r="D25" s="527"/>
      <c r="E25" s="143">
        <f>-'13'!E9-'13'!E10</f>
        <v>-237.65242460720378</v>
      </c>
      <c r="F25" s="143">
        <f>-'13'!F9-'13'!F10</f>
        <v>-30.213792332787513</v>
      </c>
      <c r="G25" s="314">
        <f>+E25+F25</f>
        <v>-267.86621693999132</v>
      </c>
      <c r="H25" s="7"/>
    </row>
    <row r="26" spans="2:11">
      <c r="B26" s="212" t="s">
        <v>448</v>
      </c>
      <c r="C26" s="12" t="s">
        <v>486</v>
      </c>
      <c r="D26" s="528"/>
      <c r="E26" s="144">
        <f>-E35</f>
        <v>-3.4193929299999923</v>
      </c>
      <c r="F26" s="144">
        <f>-F35</f>
        <v>-3.8381550000000014E-2</v>
      </c>
      <c r="G26" s="313">
        <f>+E26+F26</f>
        <v>-3.4577744799999923</v>
      </c>
      <c r="H26" s="7"/>
    </row>
    <row r="27" spans="2:11">
      <c r="B27" s="212" t="s">
        <v>448</v>
      </c>
      <c r="C27" s="6" t="s">
        <v>487</v>
      </c>
      <c r="D27" s="527"/>
      <c r="E27" s="359">
        <v>0</v>
      </c>
      <c r="F27" s="359">
        <v>0</v>
      </c>
      <c r="G27" s="314">
        <f>+E27+F27</f>
        <v>0</v>
      </c>
      <c r="H27" s="7"/>
    </row>
    <row r="28" spans="2:11">
      <c r="B28" s="212" t="s">
        <v>357</v>
      </c>
      <c r="C28" s="12" t="s">
        <v>488</v>
      </c>
      <c r="D28" s="528"/>
      <c r="E28" s="360">
        <v>0</v>
      </c>
      <c r="F28" s="360">
        <v>0</v>
      </c>
      <c r="G28" s="313">
        <f>+E28+F28</f>
        <v>0</v>
      </c>
      <c r="H28" s="7"/>
    </row>
    <row r="29" spans="2:11">
      <c r="B29" s="212"/>
      <c r="C29" s="6"/>
      <c r="D29" s="527"/>
      <c r="E29" s="143"/>
      <c r="F29" s="143"/>
      <c r="G29" s="314"/>
      <c r="H29" s="7"/>
    </row>
    <row r="30" spans="2:11">
      <c r="B30" s="212" t="s">
        <v>484</v>
      </c>
      <c r="C30" s="145" t="s">
        <v>489</v>
      </c>
      <c r="D30" s="525"/>
      <c r="E30" s="694">
        <v>0</v>
      </c>
      <c r="F30" s="694">
        <v>0</v>
      </c>
      <c r="G30" s="316">
        <f>+E30+F30</f>
        <v>0</v>
      </c>
      <c r="H30" s="7"/>
      <c r="J30" s="682"/>
      <c r="K30" s="547"/>
    </row>
    <row r="31" spans="2:11">
      <c r="B31" s="6"/>
      <c r="C31" s="235" t="s">
        <v>490</v>
      </c>
      <c r="D31" s="239"/>
      <c r="E31" s="237">
        <f>+SUM(E9:E30)</f>
        <v>4711.3418009108282</v>
      </c>
      <c r="F31" s="237">
        <f>+SUM(F9:F30)</f>
        <v>513.05664798947134</v>
      </c>
      <c r="G31" s="238">
        <f>+SUM(G9:G30)</f>
        <v>5224.3984489002996</v>
      </c>
      <c r="H31" s="7"/>
      <c r="I31" s="622"/>
    </row>
    <row r="32" spans="2:11">
      <c r="B32" s="6"/>
      <c r="H32" s="7"/>
    </row>
    <row r="33" spans="2:9">
      <c r="B33" s="6"/>
      <c r="C33" s="136" t="s">
        <v>167</v>
      </c>
      <c r="H33" s="7"/>
    </row>
    <row r="34" spans="2:9">
      <c r="B34" s="6"/>
      <c r="C34" s="151"/>
      <c r="D34" s="217"/>
      <c r="E34" s="147" t="s">
        <v>346</v>
      </c>
      <c r="F34" s="147" t="s">
        <v>347</v>
      </c>
      <c r="G34" s="148" t="s">
        <v>348</v>
      </c>
      <c r="H34" s="7"/>
    </row>
    <row r="35" spans="2:9">
      <c r="B35" s="6"/>
      <c r="C35" s="42" t="s">
        <v>491</v>
      </c>
      <c r="D35" s="523"/>
      <c r="E35" s="361">
        <v>3.4193929299999923</v>
      </c>
      <c r="F35" s="361">
        <v>3.8381550000000014E-2</v>
      </c>
      <c r="G35" s="149">
        <f>+E35+F35</f>
        <v>3.4577744799999923</v>
      </c>
      <c r="H35" s="7"/>
      <c r="I35" s="620"/>
    </row>
    <row r="36" spans="2:9">
      <c r="B36" s="212" t="s">
        <v>448</v>
      </c>
      <c r="C36" s="12" t="s">
        <v>492</v>
      </c>
      <c r="D36" s="524"/>
      <c r="E36" s="360">
        <v>-1.0382020000000001</v>
      </c>
      <c r="F36" s="360">
        <v>0</v>
      </c>
      <c r="G36" s="313">
        <f>+E36+F36</f>
        <v>-1.0382020000000001</v>
      </c>
      <c r="H36" s="7"/>
    </row>
    <row r="37" spans="2:9">
      <c r="B37" s="212" t="s">
        <v>484</v>
      </c>
      <c r="C37" s="6" t="s">
        <v>493</v>
      </c>
      <c r="D37" s="525"/>
      <c r="E37" s="359">
        <v>0</v>
      </c>
      <c r="F37" s="359">
        <v>0</v>
      </c>
      <c r="G37" s="314">
        <f>+E37+F37</f>
        <v>0</v>
      </c>
      <c r="H37" s="7"/>
    </row>
    <row r="38" spans="2:9">
      <c r="B38" s="6"/>
      <c r="C38" s="235" t="s">
        <v>494</v>
      </c>
      <c r="D38" s="236"/>
      <c r="E38" s="237">
        <f>+SUM(E35:E37)</f>
        <v>2.3811909299999923</v>
      </c>
      <c r="F38" s="237">
        <f>+SUM(F35:F37)</f>
        <v>3.8381550000000014E-2</v>
      </c>
      <c r="G38" s="238">
        <f>+SUM(G35:G37)</f>
        <v>2.4195724799999923</v>
      </c>
      <c r="H38" s="7"/>
    </row>
    <row r="39" spans="2:9">
      <c r="B39" s="6"/>
      <c r="H39" s="7"/>
    </row>
    <row r="40" spans="2:9" ht="129" customHeight="1">
      <c r="B40" s="6"/>
      <c r="C40" s="783" t="s">
        <v>495</v>
      </c>
      <c r="D40" s="783"/>
      <c r="E40" s="783"/>
      <c r="F40" s="783"/>
      <c r="G40" s="783"/>
      <c r="H40" s="7"/>
    </row>
    <row r="41" spans="2:9">
      <c r="B41" s="9"/>
      <c r="C41" s="10"/>
      <c r="D41" s="10"/>
      <c r="E41" s="10"/>
      <c r="F41" s="10"/>
      <c r="G41" s="10"/>
      <c r="H41" s="23"/>
    </row>
  </sheetData>
  <mergeCells count="3">
    <mergeCell ref="B3:G3"/>
    <mergeCell ref="B2:H2"/>
    <mergeCell ref="C40:G40"/>
  </mergeCells>
  <phoneticPr fontId="1" type="noConversion"/>
  <hyperlinks>
    <hyperlink ref="B2" location="Contents!A1" display="Regulated Asset Base (RAB) roll forward" xr:uid="{2C20B7C5-B2C5-48F9-826D-591072E35C8B}"/>
  </hyperlinks>
  <pageMargins left="0.70866141732283472" right="0.70866141732283472" top="0.74803149606299213" bottom="0.74803149606299213" header="0.31496062992125984" footer="0.31496062992125984"/>
  <pageSetup paperSize="9" scale="81" orientation="portrait" r:id="rId1"/>
  <headerFooter>
    <oddFooter>&amp;L&amp;F&amp;C&amp;D&amp;RSheet: &amp;A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F2511-7338-4DA0-A41C-203F34105B27}">
  <sheetPr codeName="Sheet15">
    <tabColor theme="4" tint="-0.249977111117893"/>
    <pageSetUpPr fitToPage="1"/>
  </sheetPr>
  <dimension ref="B2:L23"/>
  <sheetViews>
    <sheetView view="pageBreakPreview" zoomScaleNormal="100" zoomScaleSheetLayoutView="100" workbookViewId="0">
      <selection activeCell="L19" sqref="L19"/>
    </sheetView>
  </sheetViews>
  <sheetFormatPr defaultColWidth="9.140625" defaultRowHeight="15"/>
  <cols>
    <col min="1" max="1" width="9.140625" style="2" customWidth="1"/>
    <col min="2" max="2" width="6.42578125" style="2" customWidth="1"/>
    <col min="3" max="3" width="41.140625" style="2" customWidth="1"/>
    <col min="4" max="4" width="9.85546875" style="2" customWidth="1"/>
    <col min="5" max="16384" width="9.140625" style="2"/>
  </cols>
  <sheetData>
    <row r="2" spans="2:10" ht="18.75">
      <c r="B2" s="742" t="s">
        <v>254</v>
      </c>
      <c r="C2" s="743"/>
      <c r="D2" s="743"/>
      <c r="E2" s="743"/>
      <c r="F2" s="743"/>
      <c r="G2" s="743"/>
      <c r="H2" s="749"/>
    </row>
    <row r="3" spans="2:10" ht="43.5" customHeight="1">
      <c r="B3" s="711" t="s">
        <v>496</v>
      </c>
      <c r="C3" s="712"/>
      <c r="D3" s="712"/>
      <c r="E3" s="712"/>
      <c r="F3" s="712"/>
      <c r="G3" s="712"/>
      <c r="H3" s="7"/>
    </row>
    <row r="4" spans="2:10">
      <c r="B4" s="6"/>
      <c r="H4" s="7"/>
    </row>
    <row r="5" spans="2:10">
      <c r="B5" s="6"/>
      <c r="H5" s="7"/>
    </row>
    <row r="6" spans="2:10">
      <c r="B6" s="6"/>
      <c r="H6" s="7"/>
    </row>
    <row r="7" spans="2:10">
      <c r="B7" s="6"/>
      <c r="C7" s="136" t="s">
        <v>167</v>
      </c>
      <c r="D7" s="136"/>
      <c r="H7" s="7"/>
    </row>
    <row r="8" spans="2:10">
      <c r="B8" s="6"/>
      <c r="C8" s="151"/>
      <c r="D8" s="214" t="s">
        <v>354</v>
      </c>
      <c r="E8" s="147" t="s">
        <v>346</v>
      </c>
      <c r="F8" s="147" t="s">
        <v>347</v>
      </c>
      <c r="G8" s="148" t="s">
        <v>348</v>
      </c>
      <c r="H8" s="7"/>
    </row>
    <row r="9" spans="2:10">
      <c r="B9" s="6"/>
      <c r="C9" s="42" t="s">
        <v>497</v>
      </c>
      <c r="D9" s="523"/>
      <c r="E9" s="361">
        <v>235.89478560720377</v>
      </c>
      <c r="F9" s="361">
        <v>29.976078332787512</v>
      </c>
      <c r="G9" s="149">
        <f>+E9+F9</f>
        <v>265.8708639399913</v>
      </c>
      <c r="H9" s="7"/>
    </row>
    <row r="10" spans="2:10">
      <c r="B10" s="212" t="s">
        <v>357</v>
      </c>
      <c r="C10" s="12" t="s">
        <v>498</v>
      </c>
      <c r="D10" s="524"/>
      <c r="E10" s="360">
        <v>1.757639</v>
      </c>
      <c r="F10" s="360">
        <v>0.23771400000000001</v>
      </c>
      <c r="G10" s="313">
        <f>+E10+F10</f>
        <v>1.9953529999999999</v>
      </c>
      <c r="H10" s="7"/>
      <c r="J10" s="682"/>
    </row>
    <row r="11" spans="2:10">
      <c r="B11" s="212" t="s">
        <v>357</v>
      </c>
      <c r="C11" s="6" t="s">
        <v>499</v>
      </c>
      <c r="D11" s="525"/>
      <c r="E11" s="359">
        <v>5.4644870099999991</v>
      </c>
      <c r="F11" s="359">
        <v>0</v>
      </c>
      <c r="G11" s="314">
        <f>+E11+F11</f>
        <v>5.4644870099999991</v>
      </c>
      <c r="H11" s="7"/>
      <c r="I11" s="620"/>
      <c r="J11" s="682"/>
    </row>
    <row r="12" spans="2:10">
      <c r="B12" s="212" t="s">
        <v>484</v>
      </c>
      <c r="C12" s="12" t="s">
        <v>500</v>
      </c>
      <c r="D12" s="524"/>
      <c r="E12" s="144">
        <f>+E22</f>
        <v>0</v>
      </c>
      <c r="F12" s="144">
        <f>+F22</f>
        <v>0</v>
      </c>
      <c r="G12" s="313">
        <f>+E12+F12</f>
        <v>0</v>
      </c>
      <c r="H12" s="7"/>
    </row>
    <row r="13" spans="2:10">
      <c r="B13" s="6"/>
      <c r="C13" s="235" t="s">
        <v>254</v>
      </c>
      <c r="D13" s="236"/>
      <c r="E13" s="237">
        <f>+SUM(E9:E12)</f>
        <v>243.11691161720378</v>
      </c>
      <c r="F13" s="237">
        <f>+SUM(F9:F12)</f>
        <v>30.213792332787513</v>
      </c>
      <c r="G13" s="238">
        <f>+SUM(G9:G12)</f>
        <v>273.33070394999129</v>
      </c>
      <c r="H13" s="7"/>
    </row>
    <row r="14" spans="2:10">
      <c r="B14" s="6"/>
      <c r="C14" s="98"/>
      <c r="D14" s="213"/>
      <c r="E14" s="213"/>
      <c r="F14" s="213"/>
      <c r="G14" s="213"/>
      <c r="H14" s="7"/>
    </row>
    <row r="15" spans="2:10">
      <c r="B15" s="6"/>
      <c r="C15" s="136" t="s">
        <v>167</v>
      </c>
      <c r="H15" s="7"/>
    </row>
    <row r="16" spans="2:10">
      <c r="B16" s="6"/>
      <c r="C16" s="151"/>
      <c r="D16" s="217"/>
      <c r="E16" s="147" t="s">
        <v>346</v>
      </c>
      <c r="F16" s="147" t="s">
        <v>347</v>
      </c>
      <c r="G16" s="148" t="s">
        <v>348</v>
      </c>
      <c r="H16" s="7"/>
    </row>
    <row r="17" spans="2:12">
      <c r="B17" s="212" t="s">
        <v>384</v>
      </c>
      <c r="C17" s="42" t="s">
        <v>501</v>
      </c>
      <c r="D17" s="216"/>
      <c r="E17" s="361">
        <v>7.5904534686999998</v>
      </c>
      <c r="F17" s="361">
        <v>0.79285098000000009</v>
      </c>
      <c r="G17" s="149">
        <f>+E17+F17</f>
        <v>8.3833044487000006</v>
      </c>
      <c r="H17" s="7"/>
      <c r="J17" s="682"/>
    </row>
    <row r="18" spans="2:12">
      <c r="B18" s="212" t="s">
        <v>188</v>
      </c>
      <c r="C18" s="12" t="s">
        <v>502</v>
      </c>
      <c r="D18" s="587">
        <f>IF(K18&gt;D20,D20,K18)</f>
        <v>3.7100000000000001E-2</v>
      </c>
      <c r="E18" s="218"/>
      <c r="F18" s="218"/>
      <c r="G18" s="219"/>
      <c r="H18" s="7"/>
      <c r="K18" s="2">
        <f>+(3.31*0.75)+(5.08*0.25)</f>
        <v>3.7524999999999999</v>
      </c>
      <c r="L18" s="2" t="s">
        <v>913</v>
      </c>
    </row>
    <row r="19" spans="2:12">
      <c r="B19" s="212" t="s">
        <v>503</v>
      </c>
      <c r="C19" s="6" t="s">
        <v>504</v>
      </c>
      <c r="D19" s="525"/>
      <c r="E19" s="143">
        <f>+E17/$D$18</f>
        <v>204.59443311859837</v>
      </c>
      <c r="F19" s="143">
        <f>+F17/$D$18</f>
        <v>21.370646361185987</v>
      </c>
      <c r="G19" s="314">
        <f>+E19+F19</f>
        <v>225.96507947978435</v>
      </c>
      <c r="H19" s="7"/>
      <c r="L19" s="2" t="s">
        <v>905</v>
      </c>
    </row>
    <row r="20" spans="2:12">
      <c r="B20" s="212" t="s">
        <v>227</v>
      </c>
      <c r="C20" s="12" t="s">
        <v>505</v>
      </c>
      <c r="D20" s="587">
        <v>3.7100000000000001E-2</v>
      </c>
      <c r="E20" s="218"/>
      <c r="F20" s="218"/>
      <c r="G20" s="315"/>
      <c r="H20" s="7"/>
      <c r="I20" s="620"/>
    </row>
    <row r="21" spans="2:12">
      <c r="B21" s="212" t="s">
        <v>506</v>
      </c>
      <c r="C21" s="6" t="s">
        <v>507</v>
      </c>
      <c r="D21" s="525"/>
      <c r="E21" s="143">
        <f>E19*$D$20</f>
        <v>7.5904534686999998</v>
      </c>
      <c r="F21" s="143">
        <f>F19*$D$20</f>
        <v>0.79285098000000009</v>
      </c>
      <c r="G21" s="314">
        <f>+E21+F21</f>
        <v>8.3833044487000006</v>
      </c>
      <c r="H21" s="7"/>
    </row>
    <row r="22" spans="2:12">
      <c r="B22" s="212" t="s">
        <v>508</v>
      </c>
      <c r="C22" s="42" t="s">
        <v>500</v>
      </c>
      <c r="D22" s="216"/>
      <c r="E22" s="142">
        <f>+E21-E17</f>
        <v>0</v>
      </c>
      <c r="F22" s="142">
        <f>+F21-F17</f>
        <v>0</v>
      </c>
      <c r="G22" s="149">
        <f>+E22+F22</f>
        <v>0</v>
      </c>
      <c r="H22" s="7"/>
    </row>
    <row r="23" spans="2:12">
      <c r="B23" s="9"/>
      <c r="C23" s="10"/>
      <c r="D23" s="10"/>
      <c r="E23" s="10"/>
      <c r="F23" s="10"/>
      <c r="G23" s="10"/>
      <c r="H23" s="23"/>
    </row>
  </sheetData>
  <mergeCells count="2">
    <mergeCell ref="B3:G3"/>
    <mergeCell ref="B2:H2"/>
  </mergeCells>
  <hyperlinks>
    <hyperlink ref="B2" location="Contents!A1" display="Depreciation" xr:uid="{D3A3F603-D874-4A7D-A1C6-97DB44977BF5}"/>
  </hyperlinks>
  <pageMargins left="0.70866141732283472" right="0.70866141732283472" top="0.74803149606299213" bottom="0.74803149606299213" header="0.31496062992125984" footer="0.31496062992125984"/>
  <pageSetup paperSize="9" scale="92" orientation="portrait" r:id="rId1"/>
  <headerFooter>
    <oddFooter>&amp;L&amp;F&amp;C&amp;D&amp;RSheet: &amp;A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AEF8C-8039-4887-A042-4658A9B23D50}">
  <sheetPr codeName="Sheet16">
    <tabColor theme="4" tint="-0.249977111117893"/>
    <pageSetUpPr fitToPage="1"/>
  </sheetPr>
  <dimension ref="B2:V56"/>
  <sheetViews>
    <sheetView view="pageBreakPreview" zoomScale="85" zoomScaleNormal="100" zoomScaleSheetLayoutView="85" workbookViewId="0"/>
  </sheetViews>
  <sheetFormatPr defaultColWidth="9.140625" defaultRowHeight="15"/>
  <cols>
    <col min="1" max="2" width="9.140625" style="2"/>
    <col min="3" max="3" width="23.5703125" style="2" customWidth="1"/>
    <col min="4" max="4" width="71" style="2" customWidth="1"/>
    <col min="5" max="5" width="39.42578125" style="2" customWidth="1"/>
    <col min="6" max="15" width="9.140625" style="2"/>
    <col min="16" max="16" width="16.28515625" style="2" customWidth="1"/>
    <col min="17" max="19" width="9.140625" style="2"/>
    <col min="20" max="20" width="9.7109375" style="2" bestFit="1" customWidth="1"/>
    <col min="21" max="16384" width="9.140625" style="2"/>
  </cols>
  <sheetData>
    <row r="2" spans="2:22" ht="18.75">
      <c r="B2" s="742" t="s">
        <v>509</v>
      </c>
      <c r="C2" s="743"/>
      <c r="D2" s="743"/>
      <c r="E2" s="743"/>
      <c r="F2" s="743"/>
      <c r="G2" s="743"/>
      <c r="H2" s="743"/>
      <c r="I2" s="743"/>
      <c r="J2" s="743"/>
      <c r="K2" s="743"/>
      <c r="L2" s="743"/>
      <c r="M2" s="743"/>
      <c r="N2" s="749"/>
    </row>
    <row r="3" spans="2:22">
      <c r="B3" s="6" t="s">
        <v>510</v>
      </c>
      <c r="N3" s="7"/>
    </row>
    <row r="4" spans="2:22">
      <c r="B4" s="6"/>
      <c r="N4" s="7"/>
    </row>
    <row r="5" spans="2:22">
      <c r="B5" s="6"/>
      <c r="N5" s="7"/>
    </row>
    <row r="6" spans="2:22">
      <c r="B6" s="6"/>
      <c r="F6" s="792" t="s">
        <v>511</v>
      </c>
      <c r="G6" s="793"/>
      <c r="H6" s="793"/>
      <c r="I6" s="793"/>
      <c r="J6" s="793"/>
      <c r="K6" s="793"/>
      <c r="L6" s="793"/>
      <c r="M6" s="794"/>
      <c r="N6" s="7"/>
    </row>
    <row r="7" spans="2:22">
      <c r="B7" s="6"/>
      <c r="D7" s="339" t="s">
        <v>512</v>
      </c>
      <c r="E7" s="350" t="s">
        <v>513</v>
      </c>
      <c r="F7" s="75">
        <v>2018</v>
      </c>
      <c r="G7" s="4">
        <v>2019</v>
      </c>
      <c r="H7" s="4">
        <v>2020</v>
      </c>
      <c r="I7" s="4">
        <v>2021</v>
      </c>
      <c r="J7" s="4">
        <v>2022</v>
      </c>
      <c r="K7" s="4">
        <v>2023</v>
      </c>
      <c r="L7" s="4">
        <v>2024</v>
      </c>
      <c r="M7" s="5">
        <v>2025</v>
      </c>
      <c r="N7" s="7"/>
    </row>
    <row r="8" spans="2:22">
      <c r="B8" s="6"/>
      <c r="C8" s="795" t="s">
        <v>514</v>
      </c>
      <c r="D8" s="75" t="s">
        <v>515</v>
      </c>
      <c r="E8" s="348" t="s">
        <v>516</v>
      </c>
      <c r="F8" s="322"/>
      <c r="G8" s="551">
        <v>1.6748768472906406E-2</v>
      </c>
      <c r="H8" s="551">
        <v>1.6000000000000014E-2</v>
      </c>
      <c r="I8" s="551">
        <v>1.8999999999999906E-2</v>
      </c>
      <c r="J8" s="551">
        <v>2.0999999999999908E-2</v>
      </c>
      <c r="K8" s="551">
        <v>2.0000000000000018E-2</v>
      </c>
      <c r="L8" s="551">
        <v>2.0000000000000018E-2</v>
      </c>
      <c r="M8" s="552">
        <v>2.0000000000000018E-2</v>
      </c>
      <c r="N8" s="7"/>
    </row>
    <row r="9" spans="2:22">
      <c r="B9" s="212" t="s">
        <v>384</v>
      </c>
      <c r="C9" s="796"/>
      <c r="D9" s="15" t="s">
        <v>517</v>
      </c>
      <c r="E9" s="351" t="s">
        <v>518</v>
      </c>
      <c r="F9" s="323">
        <v>1</v>
      </c>
      <c r="G9" s="320">
        <f>+F9*(1+G8)</f>
        <v>1.0167487684729064</v>
      </c>
      <c r="H9" s="320">
        <f>+G9*(1+H8)</f>
        <v>1.0330167487684729</v>
      </c>
      <c r="I9" s="320">
        <f>+H9*(1+I8)</f>
        <v>1.0526440669950738</v>
      </c>
      <c r="J9" s="320">
        <f t="shared" ref="I9:M11" si="0">+I9*(1+J8)</f>
        <v>1.0747495924019703</v>
      </c>
      <c r="K9" s="320">
        <f t="shared" si="0"/>
        <v>1.0962445842500097</v>
      </c>
      <c r="L9" s="320">
        <f t="shared" si="0"/>
        <v>1.1181694759350098</v>
      </c>
      <c r="M9" s="321">
        <f t="shared" si="0"/>
        <v>1.1405328654537101</v>
      </c>
      <c r="N9" s="7"/>
    </row>
    <row r="10" spans="2:22">
      <c r="B10" s="6"/>
      <c r="C10" s="795" t="s">
        <v>519</v>
      </c>
      <c r="D10" s="75" t="s">
        <v>515</v>
      </c>
      <c r="E10" s="348" t="s">
        <v>520</v>
      </c>
      <c r="F10" s="322"/>
      <c r="G10" s="324">
        <f>+'20'!G10</f>
        <v>1.7339608620262625E-2</v>
      </c>
      <c r="H10" s="324">
        <f>+'20'!H10</f>
        <v>1.8261504747991264E-2</v>
      </c>
      <c r="I10" s="324">
        <f>+'20'!I10</f>
        <v>1.9368723098995622E-2</v>
      </c>
      <c r="J10" s="324">
        <f>+'20'!J10</f>
        <v>6.2866525920713068E-2</v>
      </c>
      <c r="K10" s="324">
        <f>+'20'!K10</f>
        <v>6.7755462370337582E-2</v>
      </c>
      <c r="L10" s="324">
        <f>+'20'!L10</f>
        <v>4.4026457213724779E-2</v>
      </c>
      <c r="M10" s="325">
        <f>+'20'!M10</f>
        <v>2.395565234607E-2</v>
      </c>
      <c r="N10" s="7"/>
      <c r="P10" s="136"/>
    </row>
    <row r="11" spans="2:22">
      <c r="B11" s="212" t="s">
        <v>188</v>
      </c>
      <c r="C11" s="796"/>
      <c r="D11" s="15" t="s">
        <v>517</v>
      </c>
      <c r="E11" s="351" t="s">
        <v>518</v>
      </c>
      <c r="F11" s="323">
        <v>1</v>
      </c>
      <c r="G11" s="320">
        <f>+F11*(1+G10)</f>
        <v>1.0173396086202626</v>
      </c>
      <c r="H11" s="320">
        <f>+G11*(1+H10)</f>
        <v>1.0359177607134011</v>
      </c>
      <c r="I11" s="320">
        <f t="shared" si="0"/>
        <v>1.0559821649739907</v>
      </c>
      <c r="J11" s="320">
        <f>+IF(J10=0,,I11*(1+J10))</f>
        <v>1.1223680951201387</v>
      </c>
      <c r="K11" s="320">
        <f>+IF(K10=0,,J11*(1+K10))</f>
        <v>1.1984146643547187</v>
      </c>
      <c r="L11" s="320">
        <f>+IF(L10=0,,K11*(1+L10))</f>
        <v>1.2511766162992319</v>
      </c>
      <c r="M11" s="321">
        <f t="shared" ref="M11" si="1">+IF(M10=0,,L11*(1+M10))</f>
        <v>1.2811493683428286</v>
      </c>
      <c r="N11" s="7"/>
      <c r="P11" s="136" t="s">
        <v>521</v>
      </c>
    </row>
    <row r="12" spans="2:22">
      <c r="B12" s="6"/>
      <c r="N12" s="7"/>
      <c r="P12" s="136" t="s">
        <v>522</v>
      </c>
    </row>
    <row r="13" spans="2:22">
      <c r="B13" s="6"/>
      <c r="D13" s="136" t="s">
        <v>167</v>
      </c>
      <c r="E13" s="136"/>
      <c r="F13" s="136"/>
      <c r="G13" s="136"/>
      <c r="H13" s="136"/>
      <c r="I13" s="772" t="s">
        <v>379</v>
      </c>
      <c r="J13" s="770"/>
      <c r="K13" s="770"/>
      <c r="L13" s="770"/>
      <c r="M13" s="771"/>
      <c r="N13" s="7"/>
      <c r="P13" s="136" t="s">
        <v>523</v>
      </c>
      <c r="R13" s="546"/>
      <c r="S13" s="546"/>
    </row>
    <row r="14" spans="2:22">
      <c r="B14" s="6"/>
      <c r="D14" s="777" t="s">
        <v>376</v>
      </c>
      <c r="E14" s="790" t="s">
        <v>513</v>
      </c>
      <c r="F14" s="326"/>
      <c r="G14" s="326"/>
      <c r="H14" s="326"/>
      <c r="I14" s="769" t="s">
        <v>402</v>
      </c>
      <c r="J14" s="770"/>
      <c r="K14" s="770"/>
      <c r="L14" s="770"/>
      <c r="M14" s="771"/>
      <c r="N14" s="7"/>
      <c r="P14" s="608"/>
    </row>
    <row r="15" spans="2:22">
      <c r="B15" s="6"/>
      <c r="D15" s="755"/>
      <c r="E15" s="791"/>
      <c r="F15" s="327"/>
      <c r="G15" s="327"/>
      <c r="H15" s="327"/>
      <c r="I15" s="151">
        <v>2021</v>
      </c>
      <c r="J15" s="247">
        <v>2022</v>
      </c>
      <c r="K15" s="247">
        <v>2023</v>
      </c>
      <c r="L15" s="247">
        <v>2024</v>
      </c>
      <c r="M15" s="318">
        <v>2025</v>
      </c>
      <c r="N15" s="7"/>
      <c r="P15" s="2">
        <v>2021</v>
      </c>
      <c r="Q15" s="2">
        <v>2022</v>
      </c>
      <c r="R15" s="2">
        <v>2023</v>
      </c>
      <c r="S15" s="2">
        <v>2024</v>
      </c>
      <c r="T15" s="2">
        <v>2025</v>
      </c>
      <c r="V15" s="546"/>
    </row>
    <row r="16" spans="2:22" ht="51.75" customHeight="1">
      <c r="B16" s="354" t="s">
        <v>417</v>
      </c>
      <c r="C16" s="784" t="s">
        <v>524</v>
      </c>
      <c r="D16" s="329" t="s">
        <v>525</v>
      </c>
      <c r="E16" s="349" t="s">
        <v>526</v>
      </c>
      <c r="F16" s="331"/>
      <c r="G16" s="331"/>
      <c r="H16" s="331"/>
      <c r="I16" s="553">
        <v>253.41068445813667</v>
      </c>
      <c r="J16" s="554">
        <v>256.4804841138868</v>
      </c>
      <c r="K16" s="554">
        <v>265.22421441352679</v>
      </c>
      <c r="L16" s="554">
        <v>273.3296040086355</v>
      </c>
      <c r="M16" s="555">
        <v>272.24196891406052</v>
      </c>
      <c r="N16" s="7"/>
      <c r="O16" s="621" t="s">
        <v>527</v>
      </c>
      <c r="P16" s="546">
        <v>5.0436984499999999</v>
      </c>
      <c r="Q16" s="546">
        <v>4.4813646699999996</v>
      </c>
      <c r="R16" s="546">
        <v>4.3040000000000003</v>
      </c>
    </row>
    <row r="17" spans="2:20">
      <c r="B17" s="354" t="s">
        <v>528</v>
      </c>
      <c r="C17" s="785"/>
      <c r="D17" s="226" t="s">
        <v>529</v>
      </c>
      <c r="E17" s="357" t="s">
        <v>518</v>
      </c>
      <c r="F17" s="328"/>
      <c r="G17" s="328"/>
      <c r="H17" s="328"/>
      <c r="I17" s="252">
        <f>I18-I16</f>
        <v>9.7696497517602268</v>
      </c>
      <c r="J17" s="253">
        <f t="shared" ref="J17:M17" si="2">J18-J16</f>
        <v>9.8877903165075054</v>
      </c>
      <c r="K17" s="253">
        <f t="shared" si="2"/>
        <v>10.002494351818541</v>
      </c>
      <c r="L17" s="253">
        <f t="shared" si="2"/>
        <v>10.105052881943038</v>
      </c>
      <c r="M17" s="319">
        <f t="shared" si="2"/>
        <v>10.311911879119293</v>
      </c>
      <c r="N17" s="7"/>
      <c r="O17" s="621" t="s">
        <v>530</v>
      </c>
      <c r="P17" s="546"/>
      <c r="Q17" s="546"/>
      <c r="R17" s="546"/>
      <c r="S17" s="546">
        <v>3.8962132800604676</v>
      </c>
      <c r="T17" s="546">
        <v>3.4893781305516041</v>
      </c>
    </row>
    <row r="18" spans="2:20" ht="49.5" customHeight="1">
      <c r="B18" s="354" t="s">
        <v>230</v>
      </c>
      <c r="C18" s="786"/>
      <c r="D18" s="282" t="s">
        <v>531</v>
      </c>
      <c r="E18" s="356" t="s">
        <v>532</v>
      </c>
      <c r="F18" s="335"/>
      <c r="G18" s="335"/>
      <c r="H18" s="335"/>
      <c r="I18" s="556">
        <v>263.1803342098969</v>
      </c>
      <c r="J18" s="557">
        <v>266.36827443039431</v>
      </c>
      <c r="K18" s="557">
        <v>275.22670876534534</v>
      </c>
      <c r="L18" s="557">
        <v>283.43465689057854</v>
      </c>
      <c r="M18" s="558">
        <v>282.55388079317981</v>
      </c>
      <c r="N18" s="7"/>
    </row>
    <row r="19" spans="2:20" ht="15" customHeight="1">
      <c r="B19" s="354" t="s">
        <v>533</v>
      </c>
      <c r="C19" s="784" t="s">
        <v>534</v>
      </c>
      <c r="D19" s="329" t="s">
        <v>525</v>
      </c>
      <c r="E19" s="355" t="s">
        <v>518</v>
      </c>
      <c r="F19" s="331"/>
      <c r="G19" s="331"/>
      <c r="H19" s="331"/>
      <c r="I19" s="332">
        <f>(I16-P16)/I9+P16</f>
        <v>240.98953597999861</v>
      </c>
      <c r="J19" s="333">
        <f t="shared" ref="J19:M19" si="3">(J16-Q16)/J9+Q16</f>
        <v>238.95376756776807</v>
      </c>
      <c r="K19" s="333">
        <f t="shared" si="3"/>
        <v>242.31677393952563</v>
      </c>
      <c r="L19" s="333">
        <f>(L16-S16)/L9+S16</f>
        <v>244.44380739339906</v>
      </c>
      <c r="M19" s="334">
        <f t="shared" si="3"/>
        <v>238.69717143640679</v>
      </c>
      <c r="N19" s="7"/>
    </row>
    <row r="20" spans="2:20">
      <c r="B20" s="354" t="s">
        <v>535</v>
      </c>
      <c r="C20" s="785"/>
      <c r="D20" s="226" t="s">
        <v>529</v>
      </c>
      <c r="E20" s="352" t="s">
        <v>518</v>
      </c>
      <c r="F20" s="328"/>
      <c r="G20" s="328"/>
      <c r="H20" s="328"/>
      <c r="I20" s="252">
        <f>+I17/I9</f>
        <v>9.2810571570019089</v>
      </c>
      <c r="J20" s="253">
        <f t="shared" ref="J20:M20" si="4">+J17/J9</f>
        <v>9.2000875240242408</v>
      </c>
      <c r="K20" s="253">
        <f t="shared" si="4"/>
        <v>9.1243272674060218</v>
      </c>
      <c r="L20" s="253">
        <f t="shared" si="4"/>
        <v>9.037138912679783</v>
      </c>
      <c r="M20" s="319">
        <f t="shared" si="4"/>
        <v>9.0413105939013505</v>
      </c>
      <c r="N20" s="7"/>
    </row>
    <row r="21" spans="2:20" ht="15" customHeight="1">
      <c r="B21" s="354" t="s">
        <v>536</v>
      </c>
      <c r="C21" s="786"/>
      <c r="D21" s="282" t="s">
        <v>531</v>
      </c>
      <c r="E21" s="353" t="s">
        <v>518</v>
      </c>
      <c r="F21" s="335"/>
      <c r="G21" s="335"/>
      <c r="H21" s="335"/>
      <c r="I21" s="336">
        <f>SUM(I19:I20)</f>
        <v>250.2705931370005</v>
      </c>
      <c r="J21" s="337">
        <f t="shared" ref="J21:M21" si="5">SUM(J19:J20)</f>
        <v>248.15385509179231</v>
      </c>
      <c r="K21" s="337">
        <f t="shared" si="5"/>
        <v>251.44110120693165</v>
      </c>
      <c r="L21" s="337">
        <f t="shared" si="5"/>
        <v>253.48094630607883</v>
      </c>
      <c r="M21" s="338">
        <f t="shared" si="5"/>
        <v>247.73848203030815</v>
      </c>
      <c r="N21" s="7"/>
    </row>
    <row r="22" spans="2:20" ht="15" customHeight="1">
      <c r="B22" s="354" t="s">
        <v>537</v>
      </c>
      <c r="C22" s="784" t="s">
        <v>538</v>
      </c>
      <c r="D22" s="535" t="s">
        <v>539</v>
      </c>
      <c r="E22" s="536" t="s">
        <v>518</v>
      </c>
      <c r="F22" s="537"/>
      <c r="G22" s="537"/>
      <c r="H22" s="537"/>
      <c r="I22" s="538">
        <f>(I19-P16)*I$11+P16</f>
        <v>254.1982947815294</v>
      </c>
      <c r="J22" s="539">
        <f t="shared" ref="J22:M22" si="6">(J19-Q16)*J$11+Q16</f>
        <v>267.64570886860963</v>
      </c>
      <c r="K22" s="539">
        <f t="shared" si="6"/>
        <v>289.54199859287212</v>
      </c>
      <c r="L22" s="539">
        <f t="shared" si="6"/>
        <v>305.84237580977418</v>
      </c>
      <c r="M22" s="540">
        <f t="shared" si="6"/>
        <v>305.80673041097242</v>
      </c>
      <c r="N22" s="7"/>
      <c r="Q22" s="546"/>
    </row>
    <row r="23" spans="2:20">
      <c r="B23" s="354" t="s">
        <v>540</v>
      </c>
      <c r="C23" s="785"/>
      <c r="D23" s="377" t="s">
        <v>529</v>
      </c>
      <c r="E23" s="541" t="s">
        <v>518</v>
      </c>
      <c r="F23" s="542"/>
      <c r="G23" s="542"/>
      <c r="H23" s="542"/>
      <c r="I23" s="543">
        <f>+I20*I$11</f>
        <v>9.8006308298982265</v>
      </c>
      <c r="J23" s="544">
        <f>+J20*J$11</f>
        <v>10.32588470927764</v>
      </c>
      <c r="K23" s="544">
        <f>+K20*K$11</f>
        <v>10.934727599630994</v>
      </c>
      <c r="L23" s="544">
        <f>+L20*L$11</f>
        <v>11.307056885792811</v>
      </c>
      <c r="M23" s="545">
        <f>+M20*M$11</f>
        <v>11.583269356368039</v>
      </c>
      <c r="N23" s="7"/>
    </row>
    <row r="24" spans="2:20" ht="15" customHeight="1">
      <c r="B24" s="354" t="s">
        <v>541</v>
      </c>
      <c r="C24" s="786"/>
      <c r="D24" s="282" t="s">
        <v>531</v>
      </c>
      <c r="E24" s="353" t="s">
        <v>518</v>
      </c>
      <c r="F24" s="335"/>
      <c r="G24" s="335"/>
      <c r="H24" s="335"/>
      <c r="I24" s="336">
        <f>SUM(I22:I23)</f>
        <v>263.99892561142764</v>
      </c>
      <c r="J24" s="337">
        <f>SUM(J22:J23)</f>
        <v>277.97159357788729</v>
      </c>
      <c r="K24" s="337">
        <f>SUM(K22:K23)</f>
        <v>300.47672619250312</v>
      </c>
      <c r="L24" s="337">
        <f>SUM(L22:L23)</f>
        <v>317.14943269556699</v>
      </c>
      <c r="M24" s="338">
        <f>SUM(M22:M23)</f>
        <v>317.38999976734044</v>
      </c>
      <c r="N24" s="7"/>
    </row>
    <row r="25" spans="2:20">
      <c r="B25" s="354"/>
      <c r="N25" s="7"/>
    </row>
    <row r="26" spans="2:20">
      <c r="B26" s="6"/>
      <c r="D26" s="136" t="s">
        <v>167</v>
      </c>
      <c r="E26" s="136"/>
      <c r="F26" s="136"/>
      <c r="G26" s="136"/>
      <c r="H26" s="136"/>
      <c r="I26" s="772" t="s">
        <v>347</v>
      </c>
      <c r="J26" s="770"/>
      <c r="K26" s="770"/>
      <c r="L26" s="770"/>
      <c r="M26" s="771"/>
      <c r="N26" s="7"/>
    </row>
    <row r="27" spans="2:20">
      <c r="B27" s="6"/>
      <c r="D27" s="777" t="s">
        <v>376</v>
      </c>
      <c r="E27" s="790" t="s">
        <v>513</v>
      </c>
      <c r="F27" s="326"/>
      <c r="G27" s="326"/>
      <c r="H27" s="326"/>
      <c r="I27" s="769" t="s">
        <v>402</v>
      </c>
      <c r="J27" s="770"/>
      <c r="K27" s="770"/>
      <c r="L27" s="770"/>
      <c r="M27" s="771"/>
      <c r="N27" s="7"/>
    </row>
    <row r="28" spans="2:20">
      <c r="B28" s="6"/>
      <c r="D28" s="755"/>
      <c r="E28" s="791"/>
      <c r="F28" s="327"/>
      <c r="G28" s="327"/>
      <c r="H28" s="327"/>
      <c r="I28" s="151">
        <v>2021</v>
      </c>
      <c r="J28" s="247">
        <v>2022</v>
      </c>
      <c r="K28" s="247">
        <v>2023</v>
      </c>
      <c r="L28" s="247">
        <v>2024</v>
      </c>
      <c r="M28" s="318">
        <v>2025</v>
      </c>
      <c r="N28" s="7"/>
    </row>
    <row r="29" spans="2:20" ht="45">
      <c r="B29" s="354" t="s">
        <v>247</v>
      </c>
      <c r="C29" s="784" t="s">
        <v>524</v>
      </c>
      <c r="D29" s="329" t="s">
        <v>525</v>
      </c>
      <c r="E29" s="349" t="s">
        <v>542</v>
      </c>
      <c r="F29" s="331"/>
      <c r="G29" s="331"/>
      <c r="H29" s="331"/>
      <c r="I29" s="553">
        <v>23.097907847055822</v>
      </c>
      <c r="J29" s="554">
        <v>24.001257166084716</v>
      </c>
      <c r="K29" s="554">
        <v>25.082408673577572</v>
      </c>
      <c r="L29" s="554">
        <v>26.097533558086123</v>
      </c>
      <c r="M29" s="555">
        <v>27.127809041956208</v>
      </c>
      <c r="N29" s="7"/>
      <c r="P29" s="647"/>
    </row>
    <row r="30" spans="2:20">
      <c r="B30" s="354" t="s">
        <v>543</v>
      </c>
      <c r="C30" s="785"/>
      <c r="D30" s="226" t="s">
        <v>529</v>
      </c>
      <c r="E30" s="357" t="s">
        <v>518</v>
      </c>
      <c r="F30" s="328"/>
      <c r="G30" s="328"/>
      <c r="H30" s="328"/>
      <c r="I30" s="252">
        <f>+I31-I29</f>
        <v>0</v>
      </c>
      <c r="J30" s="396">
        <f t="shared" ref="J30:M30" si="7">+J31-J29</f>
        <v>0</v>
      </c>
      <c r="K30" s="396">
        <f t="shared" si="7"/>
        <v>0</v>
      </c>
      <c r="L30" s="396">
        <f t="shared" si="7"/>
        <v>0</v>
      </c>
      <c r="M30" s="584">
        <f t="shared" si="7"/>
        <v>0</v>
      </c>
      <c r="N30" s="7"/>
    </row>
    <row r="31" spans="2:20" ht="45">
      <c r="B31" s="354" t="s">
        <v>253</v>
      </c>
      <c r="C31" s="786"/>
      <c r="D31" s="282" t="s">
        <v>531</v>
      </c>
      <c r="E31" s="356" t="s">
        <v>544</v>
      </c>
      <c r="F31" s="335"/>
      <c r="G31" s="335"/>
      <c r="H31" s="335"/>
      <c r="I31" s="582">
        <v>23.097907847055822</v>
      </c>
      <c r="J31" s="393">
        <v>24.001257166084716</v>
      </c>
      <c r="K31" s="393">
        <v>25.082408673577572</v>
      </c>
      <c r="L31" s="393">
        <v>26.097533558086123</v>
      </c>
      <c r="M31" s="583">
        <v>27.127809041956208</v>
      </c>
      <c r="N31" s="7"/>
    </row>
    <row r="32" spans="2:20" ht="14.25" customHeight="1">
      <c r="B32" s="354" t="s">
        <v>545</v>
      </c>
      <c r="C32" s="784" t="s">
        <v>534</v>
      </c>
      <c r="D32" s="329" t="s">
        <v>525</v>
      </c>
      <c r="E32" s="355" t="s">
        <v>518</v>
      </c>
      <c r="F32" s="331"/>
      <c r="G32" s="331"/>
      <c r="H32" s="331"/>
      <c r="I32" s="332">
        <f>+I29/I9</f>
        <v>21.942752133674368</v>
      </c>
      <c r="J32" s="333">
        <f>+J29/J9</f>
        <v>22.331952796971088</v>
      </c>
      <c r="K32" s="333">
        <f>+K29/K9</f>
        <v>22.880303386618394</v>
      </c>
      <c r="L32" s="333">
        <f>+L29/L9</f>
        <v>23.339515270047457</v>
      </c>
      <c r="M32" s="334">
        <f>+M29/M9</f>
        <v>23.785205901247412</v>
      </c>
      <c r="N32" s="7"/>
    </row>
    <row r="33" spans="2:14">
      <c r="B33" s="354" t="s">
        <v>546</v>
      </c>
      <c r="C33" s="785"/>
      <c r="D33" s="226" t="s">
        <v>529</v>
      </c>
      <c r="E33" s="352" t="s">
        <v>518</v>
      </c>
      <c r="F33" s="328"/>
      <c r="G33" s="328"/>
      <c r="H33" s="328"/>
      <c r="I33" s="252">
        <f>+I30/I9</f>
        <v>0</v>
      </c>
      <c r="J33" s="253">
        <f>+J30/J9</f>
        <v>0</v>
      </c>
      <c r="K33" s="253">
        <f>+K30/K9</f>
        <v>0</v>
      </c>
      <c r="L33" s="253">
        <f>+L30/L9</f>
        <v>0</v>
      </c>
      <c r="M33" s="319">
        <f>+M30/M9</f>
        <v>0</v>
      </c>
      <c r="N33" s="7"/>
    </row>
    <row r="34" spans="2:14">
      <c r="B34" s="354" t="s">
        <v>547</v>
      </c>
      <c r="C34" s="786"/>
      <c r="D34" s="282" t="s">
        <v>531</v>
      </c>
      <c r="E34" s="353" t="s">
        <v>518</v>
      </c>
      <c r="F34" s="335"/>
      <c r="G34" s="335"/>
      <c r="H34" s="335"/>
      <c r="I34" s="336">
        <f>+I31/I9</f>
        <v>21.942752133674368</v>
      </c>
      <c r="J34" s="337">
        <f>+J31/J9</f>
        <v>22.331952796971088</v>
      </c>
      <c r="K34" s="337">
        <f>+K31/K9</f>
        <v>22.880303386618394</v>
      </c>
      <c r="L34" s="337">
        <f>+L31/L9</f>
        <v>23.339515270047457</v>
      </c>
      <c r="M34" s="338">
        <f>+M31/M9</f>
        <v>23.785205901247412</v>
      </c>
      <c r="N34" s="7"/>
    </row>
    <row r="35" spans="2:14">
      <c r="B35" s="354" t="s">
        <v>548</v>
      </c>
      <c r="C35" s="784" t="s">
        <v>538</v>
      </c>
      <c r="D35" s="535" t="s">
        <v>539</v>
      </c>
      <c r="E35" s="536" t="s">
        <v>518</v>
      </c>
      <c r="F35" s="537"/>
      <c r="G35" s="537"/>
      <c r="H35" s="537"/>
      <c r="I35" s="538">
        <f>+I32*I$11</f>
        <v>23.171154903605114</v>
      </c>
      <c r="J35" s="539">
        <f t="shared" ref="J35:M35" si="8">+J32*J$11</f>
        <v>25.064671321049293</v>
      </c>
      <c r="K35" s="539">
        <f>+K32*K$11</f>
        <v>27.420091103408414</v>
      </c>
      <c r="L35" s="539">
        <f>+L32*L$11</f>
        <v>29.20185574164223</v>
      </c>
      <c r="M35" s="540">
        <f t="shared" si="8"/>
        <v>30.472401516287242</v>
      </c>
      <c r="N35" s="7"/>
    </row>
    <row r="36" spans="2:14">
      <c r="B36" s="354" t="s">
        <v>549</v>
      </c>
      <c r="C36" s="785"/>
      <c r="D36" s="377" t="s">
        <v>529</v>
      </c>
      <c r="E36" s="541" t="s">
        <v>518</v>
      </c>
      <c r="F36" s="542"/>
      <c r="G36" s="542"/>
      <c r="H36" s="542"/>
      <c r="I36" s="543">
        <f t="shared" ref="I36:M37" si="9">+I33*I$11</f>
        <v>0</v>
      </c>
      <c r="J36" s="544">
        <f t="shared" si="9"/>
        <v>0</v>
      </c>
      <c r="K36" s="544">
        <f t="shared" si="9"/>
        <v>0</v>
      </c>
      <c r="L36" s="544">
        <f t="shared" si="9"/>
        <v>0</v>
      </c>
      <c r="M36" s="545">
        <f t="shared" si="9"/>
        <v>0</v>
      </c>
      <c r="N36" s="7"/>
    </row>
    <row r="37" spans="2:14">
      <c r="B37" s="354" t="s">
        <v>550</v>
      </c>
      <c r="C37" s="786"/>
      <c r="D37" s="282" t="s">
        <v>531</v>
      </c>
      <c r="E37" s="353" t="s">
        <v>518</v>
      </c>
      <c r="F37" s="335"/>
      <c r="G37" s="335"/>
      <c r="H37" s="335"/>
      <c r="I37" s="336">
        <f t="shared" si="9"/>
        <v>23.171154903605114</v>
      </c>
      <c r="J37" s="337">
        <f t="shared" si="9"/>
        <v>25.064671321049293</v>
      </c>
      <c r="K37" s="337">
        <f t="shared" si="9"/>
        <v>27.420091103408414</v>
      </c>
      <c r="L37" s="337">
        <f t="shared" si="9"/>
        <v>29.20185574164223</v>
      </c>
      <c r="M37" s="338">
        <f t="shared" si="9"/>
        <v>30.472401516287242</v>
      </c>
      <c r="N37" s="7"/>
    </row>
    <row r="38" spans="2:14">
      <c r="B38" s="6"/>
      <c r="N38" s="7"/>
    </row>
    <row r="39" spans="2:14">
      <c r="B39" s="6"/>
      <c r="D39" s="136" t="s">
        <v>167</v>
      </c>
      <c r="E39" s="136"/>
      <c r="F39" s="136"/>
      <c r="G39" s="136"/>
      <c r="H39" s="136"/>
      <c r="I39" s="772" t="s">
        <v>348</v>
      </c>
      <c r="J39" s="770"/>
      <c r="K39" s="770"/>
      <c r="L39" s="770"/>
      <c r="M39" s="771"/>
      <c r="N39" s="7"/>
    </row>
    <row r="40" spans="2:14">
      <c r="B40" s="6"/>
      <c r="D40" s="777" t="s">
        <v>376</v>
      </c>
      <c r="E40" s="777" t="s">
        <v>11</v>
      </c>
      <c r="F40" s="326"/>
      <c r="G40" s="326"/>
      <c r="H40" s="326"/>
      <c r="I40" s="769" t="s">
        <v>402</v>
      </c>
      <c r="J40" s="770"/>
      <c r="K40" s="770"/>
      <c r="L40" s="770"/>
      <c r="M40" s="771"/>
      <c r="N40" s="7"/>
    </row>
    <row r="41" spans="2:14">
      <c r="B41" s="6"/>
      <c r="D41" s="755"/>
      <c r="E41" s="755"/>
      <c r="F41" s="327"/>
      <c r="G41" s="327"/>
      <c r="H41" s="327"/>
      <c r="I41" s="151">
        <v>2021</v>
      </c>
      <c r="J41" s="247">
        <v>2022</v>
      </c>
      <c r="K41" s="247">
        <v>2023</v>
      </c>
      <c r="L41" s="247">
        <v>2024</v>
      </c>
      <c r="M41" s="318">
        <v>2025</v>
      </c>
      <c r="N41" s="7"/>
    </row>
    <row r="42" spans="2:14">
      <c r="B42" s="354" t="s">
        <v>551</v>
      </c>
      <c r="C42" s="784" t="s">
        <v>524</v>
      </c>
      <c r="D42" s="329" t="s">
        <v>525</v>
      </c>
      <c r="E42" s="348" t="s">
        <v>552</v>
      </c>
      <c r="F42" s="331"/>
      <c r="G42" s="331"/>
      <c r="H42" s="331"/>
      <c r="I42" s="332">
        <f t="shared" ref="I42:M48" si="10">+I16+I29</f>
        <v>276.50859230519251</v>
      </c>
      <c r="J42" s="333">
        <f t="shared" si="10"/>
        <v>280.48174127997152</v>
      </c>
      <c r="K42" s="333">
        <f t="shared" si="10"/>
        <v>290.30662308710436</v>
      </c>
      <c r="L42" s="333">
        <f t="shared" si="10"/>
        <v>299.42713756672163</v>
      </c>
      <c r="M42" s="334">
        <f t="shared" si="10"/>
        <v>299.36977795601672</v>
      </c>
      <c r="N42" s="7"/>
    </row>
    <row r="43" spans="2:14">
      <c r="B43" s="354" t="s">
        <v>553</v>
      </c>
      <c r="C43" s="785"/>
      <c r="D43" s="226" t="s">
        <v>529</v>
      </c>
      <c r="E43" s="357" t="s">
        <v>518</v>
      </c>
      <c r="F43" s="328"/>
      <c r="G43" s="328"/>
      <c r="H43" s="328"/>
      <c r="I43" s="252">
        <f t="shared" si="10"/>
        <v>9.7696497517602268</v>
      </c>
      <c r="J43" s="253">
        <f t="shared" si="10"/>
        <v>9.8877903165075054</v>
      </c>
      <c r="K43" s="253">
        <f t="shared" si="10"/>
        <v>10.002494351818541</v>
      </c>
      <c r="L43" s="253">
        <f t="shared" si="10"/>
        <v>10.105052881943038</v>
      </c>
      <c r="M43" s="319">
        <f t="shared" si="10"/>
        <v>10.311911879119293</v>
      </c>
      <c r="N43" s="7"/>
    </row>
    <row r="44" spans="2:14">
      <c r="B44" s="354" t="s">
        <v>554</v>
      </c>
      <c r="C44" s="786"/>
      <c r="D44" s="282" t="s">
        <v>531</v>
      </c>
      <c r="E44" s="358" t="s">
        <v>555</v>
      </c>
      <c r="F44" s="335"/>
      <c r="G44" s="335"/>
      <c r="H44" s="335"/>
      <c r="I44" s="336">
        <f t="shared" si="10"/>
        <v>286.27824205695271</v>
      </c>
      <c r="J44" s="337">
        <f t="shared" si="10"/>
        <v>290.36953159647902</v>
      </c>
      <c r="K44" s="337">
        <f t="shared" si="10"/>
        <v>300.3091174389229</v>
      </c>
      <c r="L44" s="337">
        <f t="shared" si="10"/>
        <v>309.53219044866466</v>
      </c>
      <c r="M44" s="338">
        <f t="shared" si="10"/>
        <v>309.68168983513601</v>
      </c>
      <c r="N44" s="7"/>
    </row>
    <row r="45" spans="2:14" ht="14.25" customHeight="1">
      <c r="B45" s="354" t="s">
        <v>556</v>
      </c>
      <c r="C45" s="784" t="s">
        <v>534</v>
      </c>
      <c r="D45" s="329" t="s">
        <v>525</v>
      </c>
      <c r="E45" s="355" t="s">
        <v>518</v>
      </c>
      <c r="F45" s="331"/>
      <c r="G45" s="331"/>
      <c r="H45" s="331"/>
      <c r="I45" s="332">
        <f>+I19+I32</f>
        <v>262.932288113673</v>
      </c>
      <c r="J45" s="333">
        <f t="shared" si="10"/>
        <v>261.28572036473918</v>
      </c>
      <c r="K45" s="333">
        <f t="shared" si="10"/>
        <v>265.19707732614404</v>
      </c>
      <c r="L45" s="333">
        <f t="shared" si="10"/>
        <v>267.78332266344648</v>
      </c>
      <c r="M45" s="334">
        <f t="shared" si="10"/>
        <v>262.48237733765421</v>
      </c>
      <c r="N45" s="7"/>
    </row>
    <row r="46" spans="2:14">
      <c r="B46" s="354" t="s">
        <v>557</v>
      </c>
      <c r="C46" s="785"/>
      <c r="D46" s="226" t="s">
        <v>529</v>
      </c>
      <c r="E46" s="352" t="s">
        <v>518</v>
      </c>
      <c r="F46" s="328"/>
      <c r="G46" s="328"/>
      <c r="H46" s="328"/>
      <c r="I46" s="252">
        <f t="shared" si="10"/>
        <v>9.2810571570019089</v>
      </c>
      <c r="J46" s="253">
        <f t="shared" si="10"/>
        <v>9.2000875240242408</v>
      </c>
      <c r="K46" s="253">
        <f t="shared" si="10"/>
        <v>9.1243272674060218</v>
      </c>
      <c r="L46" s="253">
        <f t="shared" si="10"/>
        <v>9.037138912679783</v>
      </c>
      <c r="M46" s="319">
        <f t="shared" si="10"/>
        <v>9.0413105939013505</v>
      </c>
      <c r="N46" s="7"/>
    </row>
    <row r="47" spans="2:14">
      <c r="B47" s="354" t="s">
        <v>558</v>
      </c>
      <c r="C47" s="786"/>
      <c r="D47" s="282" t="s">
        <v>531</v>
      </c>
      <c r="E47" s="353" t="s">
        <v>518</v>
      </c>
      <c r="F47" s="335"/>
      <c r="G47" s="335"/>
      <c r="H47" s="335"/>
      <c r="I47" s="336">
        <f t="shared" si="10"/>
        <v>272.21334527067489</v>
      </c>
      <c r="J47" s="337">
        <f t="shared" si="10"/>
        <v>270.48580788876342</v>
      </c>
      <c r="K47" s="337">
        <f t="shared" si="10"/>
        <v>274.32140459355003</v>
      </c>
      <c r="L47" s="337">
        <f t="shared" si="10"/>
        <v>276.82046157612626</v>
      </c>
      <c r="M47" s="338">
        <f t="shared" si="10"/>
        <v>271.52368793155557</v>
      </c>
      <c r="N47" s="7"/>
    </row>
    <row r="48" spans="2:14">
      <c r="B48" s="354" t="s">
        <v>559</v>
      </c>
      <c r="C48" s="784" t="s">
        <v>538</v>
      </c>
      <c r="D48" s="329" t="s">
        <v>525</v>
      </c>
      <c r="E48" s="355" t="s">
        <v>518</v>
      </c>
      <c r="F48" s="331"/>
      <c r="G48" s="331"/>
      <c r="H48" s="331"/>
      <c r="I48" s="332">
        <f t="shared" si="10"/>
        <v>277.3694496851345</v>
      </c>
      <c r="J48" s="333">
        <f t="shared" si="10"/>
        <v>292.71038018965891</v>
      </c>
      <c r="K48" s="333">
        <f t="shared" si="10"/>
        <v>316.96208969628054</v>
      </c>
      <c r="L48" s="333">
        <f t="shared" si="10"/>
        <v>335.04423155141643</v>
      </c>
      <c r="M48" s="334">
        <f t="shared" si="10"/>
        <v>336.27913192725964</v>
      </c>
      <c r="N48" s="7"/>
    </row>
    <row r="49" spans="2:14">
      <c r="B49" s="354" t="s">
        <v>560</v>
      </c>
      <c r="C49" s="785"/>
      <c r="D49" s="39" t="s">
        <v>529</v>
      </c>
      <c r="E49" s="591" t="s">
        <v>518</v>
      </c>
      <c r="F49" s="592"/>
      <c r="G49" s="592"/>
      <c r="H49" s="592"/>
      <c r="I49" s="248">
        <f t="shared" ref="I49:M50" si="11">+I23+I36</f>
        <v>9.8006308298982265</v>
      </c>
      <c r="J49" s="249">
        <f t="shared" si="11"/>
        <v>10.32588470927764</v>
      </c>
      <c r="K49" s="249">
        <f t="shared" si="11"/>
        <v>10.934727599630994</v>
      </c>
      <c r="L49" s="249">
        <f t="shared" si="11"/>
        <v>11.307056885792811</v>
      </c>
      <c r="M49" s="388">
        <f t="shared" si="11"/>
        <v>11.583269356368039</v>
      </c>
      <c r="N49" s="7"/>
    </row>
    <row r="50" spans="2:14">
      <c r="B50" s="354" t="s">
        <v>561</v>
      </c>
      <c r="C50" s="786"/>
      <c r="D50" s="593" t="s">
        <v>531</v>
      </c>
      <c r="E50" s="594" t="s">
        <v>518</v>
      </c>
      <c r="F50" s="595"/>
      <c r="G50" s="595"/>
      <c r="H50" s="595"/>
      <c r="I50" s="596">
        <f t="shared" si="11"/>
        <v>287.17008051503274</v>
      </c>
      <c r="J50" s="597">
        <f t="shared" si="11"/>
        <v>303.03626489893657</v>
      </c>
      <c r="K50" s="597">
        <f t="shared" si="11"/>
        <v>327.89681729591155</v>
      </c>
      <c r="L50" s="597">
        <f t="shared" si="11"/>
        <v>346.35128843720923</v>
      </c>
      <c r="M50" s="598">
        <f t="shared" si="11"/>
        <v>347.86240128362766</v>
      </c>
      <c r="N50" s="7"/>
    </row>
    <row r="51" spans="2:14">
      <c r="B51" s="6"/>
      <c r="N51" s="7"/>
    </row>
    <row r="52" spans="2:14" ht="48.75" customHeight="1">
      <c r="B52" s="6"/>
      <c r="C52" s="787" t="s">
        <v>562</v>
      </c>
      <c r="D52" s="788"/>
      <c r="E52" s="788"/>
      <c r="F52" s="788"/>
      <c r="G52" s="788"/>
      <c r="H52" s="788"/>
      <c r="I52" s="788"/>
      <c r="J52" s="788"/>
      <c r="K52" s="788"/>
      <c r="L52" s="788"/>
      <c r="M52" s="788"/>
      <c r="N52" s="7"/>
    </row>
    <row r="53" spans="2:14">
      <c r="B53" s="6"/>
      <c r="C53" s="385" t="s">
        <v>906</v>
      </c>
      <c r="D53" s="2" t="s">
        <v>907</v>
      </c>
      <c r="E53" s="621"/>
      <c r="F53" s="586"/>
      <c r="N53" s="7"/>
    </row>
    <row r="54" spans="2:14">
      <c r="B54" s="6"/>
      <c r="C54" s="376"/>
      <c r="N54" s="7"/>
    </row>
    <row r="55" spans="2:14" ht="74.25" customHeight="1">
      <c r="B55" s="6"/>
      <c r="C55" s="789" t="s">
        <v>563</v>
      </c>
      <c r="D55" s="789"/>
      <c r="E55" s="789"/>
      <c r="F55" s="789"/>
      <c r="G55" s="789"/>
      <c r="H55" s="789"/>
      <c r="I55" s="789"/>
      <c r="J55" s="789"/>
      <c r="K55" s="789"/>
      <c r="L55" s="789"/>
      <c r="M55" s="789"/>
      <c r="N55" s="7"/>
    </row>
    <row r="56" spans="2:14">
      <c r="B56" s="6"/>
      <c r="C56" s="376"/>
      <c r="N56" s="7"/>
    </row>
  </sheetData>
  <mergeCells count="27">
    <mergeCell ref="C55:M55"/>
    <mergeCell ref="B2:N2"/>
    <mergeCell ref="C19:C21"/>
    <mergeCell ref="C22:C24"/>
    <mergeCell ref="I26:M26"/>
    <mergeCell ref="D14:D15"/>
    <mergeCell ref="E14:E15"/>
    <mergeCell ref="C16:C18"/>
    <mergeCell ref="F6:M6"/>
    <mergeCell ref="C8:C9"/>
    <mergeCell ref="C10:C11"/>
    <mergeCell ref="I13:M13"/>
    <mergeCell ref="I14:M14"/>
    <mergeCell ref="E27:E28"/>
    <mergeCell ref="I27:M27"/>
    <mergeCell ref="C42:C44"/>
    <mergeCell ref="C52:M52"/>
    <mergeCell ref="I39:M39"/>
    <mergeCell ref="D40:D41"/>
    <mergeCell ref="E40:E41"/>
    <mergeCell ref="I40:M40"/>
    <mergeCell ref="C48:C50"/>
    <mergeCell ref="C29:C31"/>
    <mergeCell ref="C32:C34"/>
    <mergeCell ref="C35:C37"/>
    <mergeCell ref="D27:D28"/>
    <mergeCell ref="C45:C47"/>
  </mergeCells>
  <hyperlinks>
    <hyperlink ref="B2" location="Contents!A1" display="The opex allowance and forecast opex " xr:uid="{64B4309F-8218-4584-B5FA-5A8AF3C029E8}"/>
    <hyperlink ref="C53" r:id="rId1" display="https://static.transpower.co.nz/public/uncontrolled_docs/Revenue%20Model.xlsm?VersionId=gxfBt0isRt93uLyV4lqOSASZFxt0eqgh" xr:uid="{2CA34E39-B8A2-447F-AC42-368083E05A1D}"/>
  </hyperlinks>
  <pageMargins left="0.25" right="0.25" top="0.75" bottom="0.75" header="0.3" footer="0.3"/>
  <pageSetup paperSize="9" scale="47" orientation="landscape" r:id="rId2"/>
  <headerFooter>
    <oddFooter>&amp;L&amp;F&amp;C&amp;D&amp;RSheet: &amp;A</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22879-2A02-45EA-BBB6-71E3C5E3AC39}">
  <sheetPr codeName="Sheet17">
    <tabColor theme="4" tint="-0.249977111117893"/>
    <pageSetUpPr fitToPage="1"/>
  </sheetPr>
  <dimension ref="B2:J38"/>
  <sheetViews>
    <sheetView view="pageBreakPreview" zoomScaleNormal="100" zoomScaleSheetLayoutView="100" workbookViewId="0"/>
  </sheetViews>
  <sheetFormatPr defaultColWidth="9.140625" defaultRowHeight="15"/>
  <cols>
    <col min="1" max="1" width="9.140625" style="2" customWidth="1"/>
    <col min="2" max="2" width="4.140625" style="2" customWidth="1"/>
    <col min="3" max="3" width="48.5703125" style="2" customWidth="1"/>
    <col min="4" max="4" width="10.28515625" style="2" customWidth="1"/>
    <col min="5" max="5" width="8.7109375" style="2" customWidth="1"/>
    <col min="6" max="6" width="9.140625" style="2"/>
    <col min="7" max="7" width="12.28515625" style="2" bestFit="1" customWidth="1"/>
    <col min="8" max="9" width="9.140625" style="2"/>
    <col min="10" max="10" width="9.140625" style="2" customWidth="1"/>
    <col min="11" max="16384" width="9.140625" style="2"/>
  </cols>
  <sheetData>
    <row r="2" spans="2:8" ht="18.75">
      <c r="B2" s="742" t="s">
        <v>564</v>
      </c>
      <c r="C2" s="743"/>
      <c r="D2" s="743"/>
      <c r="E2" s="743"/>
      <c r="F2" s="743"/>
      <c r="G2" s="743"/>
      <c r="H2" s="749"/>
    </row>
    <row r="3" spans="2:8" ht="34.5" customHeight="1">
      <c r="B3" s="711" t="s">
        <v>565</v>
      </c>
      <c r="C3" s="712"/>
      <c r="D3" s="712"/>
      <c r="E3" s="712"/>
      <c r="F3" s="712"/>
      <c r="G3" s="712"/>
      <c r="H3" s="7"/>
    </row>
    <row r="4" spans="2:8">
      <c r="B4" s="6"/>
      <c r="H4" s="7"/>
    </row>
    <row r="5" spans="2:8">
      <c r="B5" s="6"/>
      <c r="H5" s="7"/>
    </row>
    <row r="6" spans="2:8">
      <c r="B6" s="6"/>
      <c r="H6" s="7"/>
    </row>
    <row r="7" spans="2:8">
      <c r="B7" s="6"/>
      <c r="C7" s="136" t="s">
        <v>167</v>
      </c>
      <c r="D7" s="136"/>
      <c r="H7" s="7"/>
    </row>
    <row r="8" spans="2:8">
      <c r="B8" s="6"/>
      <c r="C8" s="151"/>
      <c r="D8" s="214" t="s">
        <v>354</v>
      </c>
      <c r="E8" s="147" t="s">
        <v>346</v>
      </c>
      <c r="F8" s="147" t="s">
        <v>347</v>
      </c>
      <c r="G8" s="148" t="s">
        <v>348</v>
      </c>
      <c r="H8" s="7"/>
    </row>
    <row r="9" spans="2:8">
      <c r="B9" s="6"/>
      <c r="C9" s="42" t="s">
        <v>350</v>
      </c>
      <c r="D9" s="523"/>
      <c r="E9" s="142">
        <f>+'6'!E19</f>
        <v>759.04718527244495</v>
      </c>
      <c r="F9" s="142">
        <f>+'6'!F19</f>
        <v>95.865462367150641</v>
      </c>
      <c r="G9" s="149">
        <f t="shared" ref="G9:G15" si="0">+E9+F9</f>
        <v>854.91264763959555</v>
      </c>
      <c r="H9" s="7"/>
    </row>
    <row r="10" spans="2:8">
      <c r="B10" s="212" t="s">
        <v>448</v>
      </c>
      <c r="C10" s="12" t="s">
        <v>307</v>
      </c>
      <c r="D10" s="524"/>
      <c r="E10" s="672">
        <f>-'14'!M22</f>
        <v>-305.80673041097242</v>
      </c>
      <c r="F10" s="672">
        <f>-'14'!M35</f>
        <v>-30.472401516287242</v>
      </c>
      <c r="G10" s="313">
        <f t="shared" si="0"/>
        <v>-336.27913192725964</v>
      </c>
      <c r="H10" s="7"/>
    </row>
    <row r="11" spans="2:8">
      <c r="B11" s="212" t="s">
        <v>448</v>
      </c>
      <c r="C11" s="6" t="s">
        <v>260</v>
      </c>
      <c r="D11" s="525"/>
      <c r="E11" s="673">
        <f>-'9'!F15</f>
        <v>-22.99194799</v>
      </c>
      <c r="F11" s="673">
        <f>-'9'!G15</f>
        <v>0</v>
      </c>
      <c r="G11" s="314">
        <f t="shared" si="0"/>
        <v>-22.99194799</v>
      </c>
      <c r="H11" s="7"/>
    </row>
    <row r="12" spans="2:8">
      <c r="B12" s="212" t="s">
        <v>448</v>
      </c>
      <c r="C12" s="12" t="s">
        <v>566</v>
      </c>
      <c r="D12" s="524"/>
      <c r="E12" s="672">
        <f>-'9'!F22</f>
        <v>-1.5903638691141144</v>
      </c>
      <c r="F12" s="672">
        <f>-'9'!G22</f>
        <v>-3.2138546767593632</v>
      </c>
      <c r="G12" s="313">
        <f t="shared" si="0"/>
        <v>-4.8042185458734776</v>
      </c>
      <c r="H12" s="7"/>
    </row>
    <row r="13" spans="2:8">
      <c r="B13" s="212" t="s">
        <v>448</v>
      </c>
      <c r="C13" s="6" t="s">
        <v>254</v>
      </c>
      <c r="D13" s="525"/>
      <c r="E13" s="143">
        <f>-E26</f>
        <v>-314.53867063205297</v>
      </c>
      <c r="F13" s="143">
        <f>-F26</f>
        <v>-29.949410420937504</v>
      </c>
      <c r="G13" s="314">
        <f t="shared" si="0"/>
        <v>-344.48808105299048</v>
      </c>
      <c r="H13" s="7"/>
    </row>
    <row r="14" spans="2:8">
      <c r="B14" s="212" t="s">
        <v>448</v>
      </c>
      <c r="C14" s="12" t="s">
        <v>567</v>
      </c>
      <c r="D14" s="524"/>
      <c r="E14" s="144">
        <f>-E35</f>
        <v>-57.659950347721477</v>
      </c>
      <c r="F14" s="144">
        <f>-F35</f>
        <v>-6.441855694865132</v>
      </c>
      <c r="G14" s="313">
        <f t="shared" si="0"/>
        <v>-64.101806042586603</v>
      </c>
      <c r="H14" s="7"/>
    </row>
    <row r="15" spans="2:8">
      <c r="B15" s="212" t="s">
        <v>384</v>
      </c>
      <c r="C15" s="42" t="s">
        <v>568</v>
      </c>
      <c r="D15" s="523"/>
      <c r="E15" s="142">
        <f>+SUM(E9:E14)</f>
        <v>56.459522022583926</v>
      </c>
      <c r="F15" s="142">
        <f>+SUM(F9:F14)</f>
        <v>25.787940058301409</v>
      </c>
      <c r="G15" s="149">
        <f t="shared" si="0"/>
        <v>82.247462080885327</v>
      </c>
      <c r="H15" s="7"/>
    </row>
    <row r="16" spans="2:8">
      <c r="B16" s="212" t="s">
        <v>188</v>
      </c>
      <c r="C16" s="6" t="s">
        <v>569</v>
      </c>
      <c r="D16" s="581">
        <v>0.28000000000000003</v>
      </c>
      <c r="E16" s="220"/>
      <c r="F16" s="220"/>
      <c r="G16" s="221"/>
      <c r="H16" s="7"/>
    </row>
    <row r="17" spans="2:10">
      <c r="B17" s="212" t="s">
        <v>570</v>
      </c>
      <c r="C17" s="235" t="s">
        <v>571</v>
      </c>
      <c r="D17" s="236"/>
      <c r="E17" s="237">
        <f>+E15*$D$16</f>
        <v>15.808666166323501</v>
      </c>
      <c r="F17" s="237">
        <f>+F15*$D$16</f>
        <v>7.2206232163243955</v>
      </c>
      <c r="G17" s="238">
        <f>+E17+F17</f>
        <v>23.029289382647896</v>
      </c>
      <c r="H17" s="7"/>
    </row>
    <row r="18" spans="2:10">
      <c r="B18" s="6"/>
      <c r="H18" s="7"/>
    </row>
    <row r="19" spans="2:10">
      <c r="B19" s="6"/>
      <c r="C19" s="136" t="s">
        <v>167</v>
      </c>
      <c r="D19" s="136"/>
      <c r="H19" s="7"/>
    </row>
    <row r="20" spans="2:10">
      <c r="B20" s="6"/>
      <c r="C20" s="151"/>
      <c r="D20" s="214" t="s">
        <v>354</v>
      </c>
      <c r="E20" s="147" t="s">
        <v>346</v>
      </c>
      <c r="F20" s="147" t="s">
        <v>347</v>
      </c>
      <c r="G20" s="148" t="s">
        <v>348</v>
      </c>
      <c r="H20" s="7"/>
    </row>
    <row r="21" spans="2:10">
      <c r="B21" s="6"/>
      <c r="C21" s="42" t="s">
        <v>572</v>
      </c>
      <c r="D21" s="523"/>
      <c r="E21" s="361">
        <v>231.49474542285304</v>
      </c>
      <c r="F21" s="361">
        <v>28.575495040937504</v>
      </c>
      <c r="G21" s="149">
        <f t="shared" ref="G21:G26" si="1">+E21+F21</f>
        <v>260.07024046379053</v>
      </c>
      <c r="H21" s="7"/>
      <c r="I21" s="620"/>
    </row>
    <row r="22" spans="2:10">
      <c r="B22" s="212" t="s">
        <v>357</v>
      </c>
      <c r="C22" s="12" t="s">
        <v>573</v>
      </c>
      <c r="D22" s="524"/>
      <c r="E22" s="672">
        <v>54.041590589999998</v>
      </c>
      <c r="F22" s="672">
        <v>1.3599570000000001</v>
      </c>
      <c r="G22" s="313">
        <f t="shared" si="1"/>
        <v>55.40154759</v>
      </c>
      <c r="H22" s="7"/>
      <c r="I22" s="620"/>
      <c r="J22" s="682"/>
    </row>
    <row r="23" spans="2:10">
      <c r="B23" s="212" t="s">
        <v>357</v>
      </c>
      <c r="C23" s="6" t="s">
        <v>499</v>
      </c>
      <c r="D23" s="525"/>
      <c r="E23" s="673">
        <v>14.29765061</v>
      </c>
      <c r="F23" s="673">
        <v>0</v>
      </c>
      <c r="G23" s="314">
        <f t="shared" si="1"/>
        <v>14.29765061</v>
      </c>
      <c r="H23" s="7"/>
      <c r="J23" s="682"/>
    </row>
    <row r="24" spans="2:10">
      <c r="B24" s="212" t="s">
        <v>357</v>
      </c>
      <c r="C24" s="12" t="s">
        <v>574</v>
      </c>
      <c r="D24" s="524"/>
      <c r="E24" s="672">
        <v>2.9337410091999172</v>
      </c>
      <c r="F24" s="672">
        <v>1.3958379999999991E-2</v>
      </c>
      <c r="G24" s="313">
        <f t="shared" si="1"/>
        <v>2.9476993891999173</v>
      </c>
      <c r="H24" s="7"/>
      <c r="J24" s="682"/>
    </row>
    <row r="25" spans="2:10">
      <c r="B25" s="212" t="s">
        <v>357</v>
      </c>
      <c r="C25" s="6" t="s">
        <v>575</v>
      </c>
      <c r="D25" s="525"/>
      <c r="E25" s="695">
        <f>+'10'!P11</f>
        <v>11.770943000000001</v>
      </c>
      <c r="F25" s="695">
        <f>+'10'!P20</f>
        <v>0</v>
      </c>
      <c r="G25" s="314">
        <f t="shared" si="1"/>
        <v>11.770943000000001</v>
      </c>
      <c r="H25" s="7"/>
      <c r="I25" s="623"/>
      <c r="J25" s="682"/>
    </row>
    <row r="26" spans="2:10">
      <c r="B26" s="212"/>
      <c r="C26" s="42" t="s">
        <v>254</v>
      </c>
      <c r="D26" s="216"/>
      <c r="E26" s="142">
        <f>+SUM(E21:E25)</f>
        <v>314.53867063205297</v>
      </c>
      <c r="F26" s="142">
        <f>+SUM(F21:F25)</f>
        <v>29.949410420937504</v>
      </c>
      <c r="G26" s="149">
        <f t="shared" si="1"/>
        <v>344.48808105299048</v>
      </c>
      <c r="H26" s="7"/>
    </row>
    <row r="27" spans="2:10">
      <c r="B27" s="6"/>
      <c r="H27" s="7"/>
    </row>
    <row r="28" spans="2:10">
      <c r="B28" s="6"/>
      <c r="C28" s="136" t="s">
        <v>167</v>
      </c>
      <c r="D28" s="136"/>
      <c r="H28" s="7"/>
    </row>
    <row r="29" spans="2:10">
      <c r="B29" s="6"/>
      <c r="C29" s="151"/>
      <c r="D29" s="214" t="s">
        <v>354</v>
      </c>
      <c r="E29" s="147" t="s">
        <v>346</v>
      </c>
      <c r="F29" s="147" t="s">
        <v>347</v>
      </c>
      <c r="G29" s="148" t="s">
        <v>348</v>
      </c>
      <c r="H29" s="7"/>
    </row>
    <row r="30" spans="2:10">
      <c r="B30" s="212" t="s">
        <v>384</v>
      </c>
      <c r="C30" s="42" t="s">
        <v>576</v>
      </c>
      <c r="D30" s="216"/>
      <c r="E30" s="142">
        <f>+'12'!E9</f>
        <v>4542.6955517097313</v>
      </c>
      <c r="F30" s="142">
        <f>+'12'!F9</f>
        <v>507.51672579225914</v>
      </c>
      <c r="G30" s="149">
        <f>+E30+F30</f>
        <v>5050.2122775019907</v>
      </c>
      <c r="H30" s="7"/>
    </row>
    <row r="31" spans="2:10">
      <c r="B31" s="212" t="s">
        <v>188</v>
      </c>
      <c r="C31" s="12" t="s">
        <v>577</v>
      </c>
      <c r="D31" s="579">
        <v>0.42</v>
      </c>
      <c r="E31" s="222"/>
      <c r="F31" s="222"/>
      <c r="G31" s="223"/>
      <c r="H31" s="7"/>
    </row>
    <row r="32" spans="2:10">
      <c r="B32" s="212" t="s">
        <v>417</v>
      </c>
      <c r="C32" s="6" t="s">
        <v>578</v>
      </c>
      <c r="D32" s="580">
        <v>2.92E-2</v>
      </c>
      <c r="E32" s="220"/>
      <c r="F32" s="220"/>
      <c r="G32" s="221"/>
      <c r="H32" s="7"/>
    </row>
    <row r="33" spans="2:10">
      <c r="B33" s="212"/>
      <c r="C33" s="42" t="s">
        <v>579</v>
      </c>
      <c r="D33" s="523"/>
      <c r="E33" s="142">
        <f>+E30*$D$31*$D$32</f>
        <v>55.711618246168143</v>
      </c>
      <c r="F33" s="142">
        <f>+F30*$D$31*$D$32</f>
        <v>6.2241851251162652</v>
      </c>
      <c r="G33" s="149">
        <f>+E33+F33</f>
        <v>61.935803371284408</v>
      </c>
      <c r="H33" s="7"/>
    </row>
    <row r="34" spans="2:10">
      <c r="B34" s="212" t="s">
        <v>357</v>
      </c>
      <c r="C34" s="6" t="s">
        <v>580</v>
      </c>
      <c r="D34" s="525"/>
      <c r="E34" s="500">
        <f>+G34*('5'!O11/'5'!Q11)</f>
        <v>1.9483321015533339</v>
      </c>
      <c r="F34" s="500">
        <f>+G34*('5'!P11/'5'!Q11)</f>
        <v>0.21767056974886667</v>
      </c>
      <c r="G34" s="670">
        <v>2.1660026713022007</v>
      </c>
      <c r="H34" s="7"/>
      <c r="J34" s="682"/>
    </row>
    <row r="35" spans="2:10">
      <c r="B35" s="212"/>
      <c r="C35" s="42" t="s">
        <v>581</v>
      </c>
      <c r="D35" s="216"/>
      <c r="E35" s="142">
        <f>+E34+E33</f>
        <v>57.659950347721477</v>
      </c>
      <c r="F35" s="142">
        <f>+F34+F33</f>
        <v>6.441855694865132</v>
      </c>
      <c r="G35" s="149">
        <f>+E35+F35</f>
        <v>64.101806042586603</v>
      </c>
      <c r="H35" s="7"/>
    </row>
    <row r="36" spans="2:10">
      <c r="B36" s="212"/>
      <c r="C36" s="98"/>
      <c r="D36" s="467"/>
      <c r="E36" s="213"/>
      <c r="F36" s="213"/>
      <c r="G36" s="213"/>
      <c r="H36" s="7"/>
    </row>
    <row r="37" spans="2:10" ht="117.75" customHeight="1">
      <c r="B37" s="212"/>
      <c r="C37" s="797" t="s">
        <v>582</v>
      </c>
      <c r="D37" s="761"/>
      <c r="E37" s="761"/>
      <c r="F37" s="761"/>
      <c r="G37" s="761"/>
      <c r="H37" s="550"/>
      <c r="I37" s="466"/>
    </row>
    <row r="38" spans="2:10">
      <c r="B38" s="9"/>
      <c r="C38" s="10"/>
      <c r="D38" s="10"/>
      <c r="E38" s="10"/>
      <c r="F38" s="10"/>
      <c r="G38" s="10"/>
      <c r="H38" s="23"/>
    </row>
  </sheetData>
  <mergeCells count="3">
    <mergeCell ref="B3:G3"/>
    <mergeCell ref="B2:H2"/>
    <mergeCell ref="C37:G37"/>
  </mergeCells>
  <hyperlinks>
    <hyperlink ref="B2" location="Contents!A1" display="The regulatory tax allowance" xr:uid="{F861F6E1-170F-45A0-823B-0E79ABB3578A}"/>
  </hyperlinks>
  <pageMargins left="0.70866141732283472" right="0.70866141732283472" top="0.74803149606299213" bottom="0.74803149606299213" header="0.31496062992125984" footer="0.31496062992125984"/>
  <pageSetup paperSize="9" scale="85" orientation="portrait" r:id="rId1"/>
  <headerFooter>
    <oddFooter>&amp;L&amp;F&amp;C&amp;D&amp;RSheet: &amp;A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C0923-5803-4865-960E-1817EAC85B4A}">
  <sheetPr codeName="Sheet18">
    <tabColor theme="4" tint="-0.249977111117893"/>
    <pageSetUpPr fitToPage="1"/>
  </sheetPr>
  <dimension ref="B2:L24"/>
  <sheetViews>
    <sheetView view="pageBreakPreview" zoomScale="67" zoomScaleNormal="100" zoomScaleSheetLayoutView="100" workbookViewId="0"/>
  </sheetViews>
  <sheetFormatPr defaultColWidth="9.140625" defaultRowHeight="15"/>
  <cols>
    <col min="1" max="1" width="9.140625" style="2"/>
    <col min="2" max="2" width="23.5703125" style="2" customWidth="1"/>
    <col min="3" max="3" width="75.5703125" style="2" customWidth="1"/>
    <col min="4" max="4" width="60.42578125" style="2" customWidth="1"/>
    <col min="5" max="5" width="11.28515625" style="2" customWidth="1"/>
    <col min="6" max="6" width="10.42578125" style="2" customWidth="1"/>
    <col min="7" max="7" width="10.85546875" style="2" customWidth="1"/>
    <col min="8" max="8" width="12.5703125" style="2" customWidth="1"/>
    <col min="9" max="16384" width="9.140625" style="2"/>
  </cols>
  <sheetData>
    <row r="2" spans="2:9" ht="18.75">
      <c r="B2" s="375" t="s">
        <v>390</v>
      </c>
      <c r="C2" s="4"/>
      <c r="D2" s="4"/>
      <c r="E2" s="4"/>
      <c r="F2" s="4"/>
      <c r="G2" s="4"/>
      <c r="H2" s="4"/>
      <c r="I2" s="5"/>
    </row>
    <row r="3" spans="2:9">
      <c r="B3" s="6" t="s">
        <v>583</v>
      </c>
      <c r="D3" s="520" t="s">
        <v>584</v>
      </c>
      <c r="I3" s="7"/>
    </row>
    <row r="4" spans="2:9">
      <c r="B4" s="6" t="s">
        <v>585</v>
      </c>
      <c r="D4" s="520" t="s">
        <v>586</v>
      </c>
      <c r="I4" s="7"/>
    </row>
    <row r="5" spans="2:9">
      <c r="B5" s="6"/>
      <c r="I5" s="7"/>
    </row>
    <row r="6" spans="2:9">
      <c r="B6" s="24"/>
      <c r="I6" s="7"/>
    </row>
    <row r="7" spans="2:9">
      <c r="B7" s="6"/>
      <c r="C7" s="136" t="s">
        <v>167</v>
      </c>
      <c r="I7" s="7"/>
    </row>
    <row r="8" spans="2:9" ht="30">
      <c r="B8" s="24"/>
      <c r="C8" s="291" t="s">
        <v>284</v>
      </c>
      <c r="D8" s="86" t="s">
        <v>587</v>
      </c>
      <c r="E8" s="86" t="s">
        <v>11</v>
      </c>
      <c r="F8" s="291" t="s">
        <v>379</v>
      </c>
      <c r="G8" s="256" t="s">
        <v>347</v>
      </c>
      <c r="H8" s="257" t="s">
        <v>380</v>
      </c>
      <c r="I8" s="7"/>
    </row>
    <row r="9" spans="2:9" ht="56.25">
      <c r="B9" s="24"/>
      <c r="C9" s="224" t="s">
        <v>588</v>
      </c>
      <c r="D9" s="258" t="s">
        <v>589</v>
      </c>
      <c r="E9" s="227" t="s">
        <v>590</v>
      </c>
      <c r="F9" s="228" t="s">
        <v>442</v>
      </c>
      <c r="G9" s="229" t="s">
        <v>442</v>
      </c>
      <c r="H9" s="230" t="s">
        <v>442</v>
      </c>
      <c r="I9" s="7"/>
    </row>
    <row r="10" spans="2:9" ht="30">
      <c r="B10" s="212" t="s">
        <v>357</v>
      </c>
      <c r="C10" s="225" t="s">
        <v>591</v>
      </c>
      <c r="D10" s="225" t="s">
        <v>592</v>
      </c>
      <c r="E10" s="231" t="s">
        <v>593</v>
      </c>
      <c r="F10" s="371">
        <v>0</v>
      </c>
      <c r="G10" s="372">
        <v>0</v>
      </c>
      <c r="H10" s="311">
        <f t="shared" ref="H10:H17" si="0">+F10+G10</f>
        <v>0</v>
      </c>
      <c r="I10" s="7"/>
    </row>
    <row r="11" spans="2:9" ht="32.25" customHeight="1">
      <c r="B11" s="212" t="s">
        <v>357</v>
      </c>
      <c r="C11" s="224" t="s">
        <v>594</v>
      </c>
      <c r="D11" s="224" t="s">
        <v>592</v>
      </c>
      <c r="E11" s="227" t="s">
        <v>595</v>
      </c>
      <c r="F11" s="369">
        <v>0</v>
      </c>
      <c r="G11" s="370">
        <v>0</v>
      </c>
      <c r="H11" s="312">
        <f t="shared" si="0"/>
        <v>0</v>
      </c>
      <c r="I11" s="7"/>
    </row>
    <row r="12" spans="2:9" ht="28.5" customHeight="1">
      <c r="B12" s="212" t="s">
        <v>357</v>
      </c>
      <c r="C12" s="226" t="s">
        <v>596</v>
      </c>
      <c r="D12" s="225"/>
      <c r="E12" s="231" t="s">
        <v>597</v>
      </c>
      <c r="F12" s="371">
        <f>-'4'!J46</f>
        <v>-12.585317112228342</v>
      </c>
      <c r="G12" s="372">
        <f>-'4'!K46</f>
        <v>2.0734763295069762</v>
      </c>
      <c r="H12" s="311">
        <f>+F12+G12</f>
        <v>-10.511840782721366</v>
      </c>
      <c r="I12" s="7"/>
    </row>
    <row r="13" spans="2:9" ht="28.5" customHeight="1">
      <c r="B13" s="212" t="s">
        <v>357</v>
      </c>
      <c r="C13" s="39" t="s">
        <v>598</v>
      </c>
      <c r="D13" s="224" t="s">
        <v>592</v>
      </c>
      <c r="E13" s="227" t="s">
        <v>599</v>
      </c>
      <c r="F13" s="369">
        <v>0</v>
      </c>
      <c r="G13" s="370">
        <v>0</v>
      </c>
      <c r="H13" s="312">
        <f>+F13+G13</f>
        <v>0</v>
      </c>
      <c r="I13" s="7"/>
    </row>
    <row r="14" spans="2:9" ht="30">
      <c r="B14" s="212" t="s">
        <v>357</v>
      </c>
      <c r="C14" s="225" t="s">
        <v>600</v>
      </c>
      <c r="D14" s="225"/>
      <c r="E14" s="231" t="s">
        <v>601</v>
      </c>
      <c r="F14" s="371">
        <f>-('19'!J28-'19'!J25)/1000000</f>
        <v>-2.730986802564102</v>
      </c>
      <c r="G14" s="372">
        <f>-'19'!J25/1000000</f>
        <v>0.50000000000000044</v>
      </c>
      <c r="H14" s="311">
        <f>+F14+G14</f>
        <v>-2.2309868025641015</v>
      </c>
      <c r="I14" s="7"/>
    </row>
    <row r="15" spans="2:9" ht="42.75" customHeight="1">
      <c r="B15" s="212" t="s">
        <v>357</v>
      </c>
      <c r="C15" s="224" t="s">
        <v>602</v>
      </c>
      <c r="D15" s="224"/>
      <c r="E15" s="227" t="s">
        <v>603</v>
      </c>
      <c r="F15" s="369">
        <f>-'17'!G11</f>
        <v>22.316693986975771</v>
      </c>
      <c r="G15" s="370">
        <f>-'17'!H11</f>
        <v>5.001905889338718</v>
      </c>
      <c r="H15" s="312">
        <f>+F15+G15</f>
        <v>27.31859987631449</v>
      </c>
      <c r="I15" s="7"/>
    </row>
    <row r="16" spans="2:9" ht="53.25" customHeight="1">
      <c r="B16" s="212" t="s">
        <v>357</v>
      </c>
      <c r="C16" s="225" t="s">
        <v>604</v>
      </c>
      <c r="D16" s="225" t="s">
        <v>605</v>
      </c>
      <c r="E16" s="231" t="s">
        <v>606</v>
      </c>
      <c r="F16" s="371">
        <f>-'18'!G17</f>
        <v>-2.8622920499999993</v>
      </c>
      <c r="G16" s="372">
        <f>-'18'!H17</f>
        <v>0</v>
      </c>
      <c r="H16" s="311">
        <f t="shared" si="0"/>
        <v>-2.8622920499999993</v>
      </c>
      <c r="I16" s="7"/>
    </row>
    <row r="17" spans="2:12" ht="30.75" customHeight="1">
      <c r="B17" s="212" t="s">
        <v>357</v>
      </c>
      <c r="C17" s="224" t="s">
        <v>607</v>
      </c>
      <c r="D17" s="224" t="s">
        <v>592</v>
      </c>
      <c r="E17" s="227" t="s">
        <v>608</v>
      </c>
      <c r="F17" s="369">
        <v>0</v>
      </c>
      <c r="G17" s="370">
        <v>0</v>
      </c>
      <c r="H17" s="312">
        <f t="shared" si="0"/>
        <v>0</v>
      </c>
      <c r="I17" s="7"/>
    </row>
    <row r="18" spans="2:12" ht="70.5" customHeight="1">
      <c r="B18" s="212" t="s">
        <v>357</v>
      </c>
      <c r="C18" s="225" t="s">
        <v>609</v>
      </c>
      <c r="D18" s="469" t="s">
        <v>610</v>
      </c>
      <c r="E18" s="225" t="s">
        <v>611</v>
      </c>
      <c r="F18" s="371">
        <v>0</v>
      </c>
      <c r="G18" s="372">
        <v>0</v>
      </c>
      <c r="H18" s="311">
        <f t="shared" ref="H18:H19" si="1">+F18+G18</f>
        <v>0</v>
      </c>
      <c r="I18" s="7"/>
      <c r="L18" s="705"/>
    </row>
    <row r="19" spans="2:12" ht="63.75" customHeight="1">
      <c r="B19" s="212" t="s">
        <v>357</v>
      </c>
      <c r="C19" s="224" t="s">
        <v>612</v>
      </c>
      <c r="D19" s="258" t="s">
        <v>610</v>
      </c>
      <c r="E19" s="224" t="s">
        <v>613</v>
      </c>
      <c r="F19" s="369">
        <v>0</v>
      </c>
      <c r="G19" s="370">
        <v>0</v>
      </c>
      <c r="H19" s="312">
        <f t="shared" si="1"/>
        <v>0</v>
      </c>
      <c r="I19" s="7"/>
    </row>
    <row r="20" spans="2:12" ht="23.25" customHeight="1">
      <c r="B20" s="6"/>
      <c r="C20" s="235" t="s">
        <v>390</v>
      </c>
      <c r="D20" s="245"/>
      <c r="E20" s="245"/>
      <c r="F20" s="237">
        <f>+SUM(F9:F19)</f>
        <v>4.1380980221833283</v>
      </c>
      <c r="G20" s="237">
        <f>+SUM(G9:G19)</f>
        <v>7.5753822188456947</v>
      </c>
      <c r="H20" s="261">
        <f>+F20+G20</f>
        <v>11.713480241029023</v>
      </c>
      <c r="I20" s="7"/>
    </row>
    <row r="21" spans="2:12" ht="11.25" customHeight="1">
      <c r="B21" s="6"/>
      <c r="C21" s="98"/>
      <c r="D21" s="98"/>
      <c r="E21" s="98"/>
      <c r="F21" s="213"/>
      <c r="G21" s="213"/>
      <c r="H21" s="213"/>
      <c r="I21" s="7"/>
    </row>
    <row r="22" spans="2:12" ht="30" customHeight="1">
      <c r="B22" s="6"/>
      <c r="C22" s="798" t="s">
        <v>614</v>
      </c>
      <c r="D22" s="798"/>
      <c r="E22" s="798"/>
      <c r="F22" s="798"/>
      <c r="G22" s="798"/>
      <c r="H22" s="798"/>
      <c r="I22" s="7"/>
    </row>
    <row r="23" spans="2:12">
      <c r="B23" s="6"/>
      <c r="C23" s="468" t="s">
        <v>615</v>
      </c>
      <c r="D23" s="708" t="s">
        <v>616</v>
      </c>
      <c r="I23" s="7"/>
    </row>
    <row r="24" spans="2:12">
      <c r="B24" s="9"/>
      <c r="C24" s="395" t="s">
        <v>617</v>
      </c>
      <c r="D24" s="707" t="s">
        <v>908</v>
      </c>
      <c r="E24" s="10"/>
      <c r="F24" s="10"/>
      <c r="G24" s="10"/>
      <c r="H24" s="10"/>
      <c r="I24" s="23"/>
    </row>
  </sheetData>
  <mergeCells count="1">
    <mergeCell ref="C22:H22"/>
  </mergeCells>
  <hyperlinks>
    <hyperlink ref="B2" location="Contents!A1" display="EV account entries" xr:uid="{ED70762C-A5D2-4BF7-AEA4-A0A073DD50EF}"/>
    <hyperlink ref="D23" r:id="rId1" xr:uid="{22FB52F4-224E-48D8-ADAF-2ED373F08661}"/>
  </hyperlinks>
  <pageMargins left="0.70866141732283472" right="0.70866141732283472" top="0.74803149606299213" bottom="0.74803149606299213" header="0.31496062992125984" footer="0.31496062992125984"/>
  <pageSetup paperSize="9" scale="52" orientation="landscape" r:id="rId2"/>
  <headerFooter>
    <oddFooter>&amp;L&amp;F&amp;C&amp;D&amp;RSheet: &amp;A</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DABA6-87E3-46D9-9C48-1A01FDF04868}">
  <sheetPr codeName="Sheet19">
    <tabColor theme="4" tint="-0.249977111117893"/>
    <pageSetUpPr fitToPage="1"/>
  </sheetPr>
  <dimension ref="B2:L39"/>
  <sheetViews>
    <sheetView view="pageBreakPreview" zoomScale="85" zoomScaleNormal="100" zoomScaleSheetLayoutView="85" workbookViewId="0"/>
  </sheetViews>
  <sheetFormatPr defaultColWidth="9.140625" defaultRowHeight="15"/>
  <cols>
    <col min="1" max="1" width="9.140625" style="2"/>
    <col min="2" max="2" width="23.5703125" style="2" customWidth="1"/>
    <col min="3" max="3" width="64.7109375" style="2" customWidth="1"/>
    <col min="4" max="4" width="55.85546875" style="2" customWidth="1"/>
    <col min="5" max="6" width="11.28515625" style="2" customWidth="1"/>
    <col min="7" max="7" width="9.85546875" style="2" bestFit="1" customWidth="1"/>
    <col min="8" max="16384" width="9.140625" style="2"/>
  </cols>
  <sheetData>
    <row r="2" spans="2:10" ht="18.75">
      <c r="B2" s="375" t="s">
        <v>618</v>
      </c>
      <c r="C2" s="4"/>
      <c r="D2" s="4"/>
      <c r="E2" s="4"/>
      <c r="F2" s="4"/>
      <c r="G2" s="4"/>
      <c r="H2" s="4"/>
      <c r="I2" s="4"/>
      <c r="J2" s="5"/>
    </row>
    <row r="3" spans="2:10" ht="19.5" customHeight="1">
      <c r="B3" s="711" t="s">
        <v>619</v>
      </c>
      <c r="C3" s="712"/>
      <c r="D3" s="712"/>
      <c r="E3" s="712"/>
      <c r="F3" s="712"/>
      <c r="G3" s="712"/>
      <c r="J3" s="7"/>
    </row>
    <row r="4" spans="2:10">
      <c r="B4" s="6"/>
      <c r="J4" s="7"/>
    </row>
    <row r="5" spans="2:10">
      <c r="B5" s="6"/>
      <c r="J5" s="7"/>
    </row>
    <row r="6" spans="2:10">
      <c r="B6" s="6"/>
      <c r="J6" s="7"/>
    </row>
    <row r="7" spans="2:10">
      <c r="B7" s="6"/>
      <c r="C7" s="136" t="s">
        <v>167</v>
      </c>
      <c r="J7" s="7"/>
    </row>
    <row r="8" spans="2:10">
      <c r="B8" s="6"/>
      <c r="C8" s="291" t="s">
        <v>620</v>
      </c>
      <c r="D8" s="86"/>
      <c r="E8" s="291"/>
      <c r="F8" s="262"/>
      <c r="G8" s="256" t="s">
        <v>379</v>
      </c>
      <c r="H8" s="256" t="s">
        <v>347</v>
      </c>
      <c r="I8" s="257" t="s">
        <v>380</v>
      </c>
      <c r="J8" s="7"/>
    </row>
    <row r="9" spans="2:10">
      <c r="B9" s="6"/>
      <c r="C9" s="39" t="s">
        <v>621</v>
      </c>
      <c r="D9" s="267"/>
      <c r="E9" s="268"/>
      <c r="F9" s="269"/>
      <c r="G9" s="249">
        <f>+G25</f>
        <v>-22.316693986975771</v>
      </c>
      <c r="H9" s="249">
        <f>+H25</f>
        <v>-5.001905889338718</v>
      </c>
      <c r="I9" s="312">
        <f>+G9+H9</f>
        <v>-27.31859987631449</v>
      </c>
      <c r="J9" s="7"/>
    </row>
    <row r="10" spans="2:10">
      <c r="B10" s="212" t="s">
        <v>357</v>
      </c>
      <c r="C10" s="39" t="s">
        <v>622</v>
      </c>
      <c r="D10" s="267"/>
      <c r="E10" s="268"/>
      <c r="F10" s="269"/>
      <c r="G10" s="249">
        <f>+G38</f>
        <v>0</v>
      </c>
      <c r="H10" s="249">
        <f>+H38</f>
        <v>0</v>
      </c>
      <c r="I10" s="312">
        <f>+G10+H10</f>
        <v>0</v>
      </c>
      <c r="J10" s="7"/>
    </row>
    <row r="11" spans="2:10" ht="23.25" customHeight="1">
      <c r="B11" s="6"/>
      <c r="C11" s="235" t="s">
        <v>623</v>
      </c>
      <c r="D11" s="270"/>
      <c r="E11" s="271"/>
      <c r="F11" s="272"/>
      <c r="G11" s="237">
        <f>+G9+G10</f>
        <v>-22.316693986975771</v>
      </c>
      <c r="H11" s="237">
        <f>+H9+H10</f>
        <v>-5.001905889338718</v>
      </c>
      <c r="I11" s="261">
        <f t="shared" ref="I11" si="0">+G11+H11</f>
        <v>-27.31859987631449</v>
      </c>
      <c r="J11" s="7"/>
    </row>
    <row r="12" spans="2:10">
      <c r="B12" s="24"/>
      <c r="J12" s="7"/>
    </row>
    <row r="13" spans="2:10">
      <c r="B13" s="6"/>
      <c r="C13" s="136" t="s">
        <v>167</v>
      </c>
      <c r="J13" s="7"/>
    </row>
    <row r="14" spans="2:10" ht="30">
      <c r="B14" s="24"/>
      <c r="C14" s="291" t="s">
        <v>620</v>
      </c>
      <c r="D14" s="86" t="s">
        <v>624</v>
      </c>
      <c r="E14" s="291" t="s">
        <v>625</v>
      </c>
      <c r="F14" s="262" t="s">
        <v>354</v>
      </c>
      <c r="G14" s="256" t="s">
        <v>379</v>
      </c>
      <c r="H14" s="256" t="s">
        <v>347</v>
      </c>
      <c r="I14" s="257" t="s">
        <v>380</v>
      </c>
      <c r="J14" s="7"/>
    </row>
    <row r="15" spans="2:10" ht="28.5" customHeight="1">
      <c r="B15" s="6"/>
      <c r="C15" s="39" t="s">
        <v>626</v>
      </c>
      <c r="D15" s="263" t="s">
        <v>627</v>
      </c>
      <c r="E15" s="39" t="s">
        <v>628</v>
      </c>
      <c r="F15" s="585">
        <f>+(1-(1/((1+0.0457)^6)))</f>
        <v>0.23518331837483752</v>
      </c>
      <c r="G15" s="264"/>
      <c r="H15" s="264"/>
      <c r="I15" s="265"/>
      <c r="J15" s="7"/>
    </row>
    <row r="16" spans="2:10">
      <c r="B16" s="6"/>
      <c r="C16" s="226" t="s">
        <v>629</v>
      </c>
      <c r="D16" s="225" t="s">
        <v>630</v>
      </c>
      <c r="E16" s="226" t="s">
        <v>631</v>
      </c>
      <c r="F16" s="274"/>
      <c r="G16" s="278">
        <f>+G18+G19+G20+G21+G23</f>
        <v>315.92173325089641</v>
      </c>
      <c r="H16" s="278">
        <f t="shared" ref="H16:I16" si="1">+H18+H19+H20+H21+H23</f>
        <v>25.349206380684311</v>
      </c>
      <c r="I16" s="311">
        <f t="shared" si="1"/>
        <v>341.27093963158075</v>
      </c>
      <c r="J16" s="7"/>
    </row>
    <row r="17" spans="2:12" ht="28.5" customHeight="1">
      <c r="B17" s="6"/>
      <c r="C17" s="39" t="s">
        <v>632</v>
      </c>
      <c r="D17" s="224" t="s">
        <v>633</v>
      </c>
      <c r="E17" s="39" t="s">
        <v>634</v>
      </c>
      <c r="F17" s="275"/>
      <c r="G17" s="370">
        <v>407.31069931000002</v>
      </c>
      <c r="H17" s="370">
        <v>46.617321500000003</v>
      </c>
      <c r="I17" s="312">
        <f>+G17+H17</f>
        <v>453.92802081000002</v>
      </c>
      <c r="J17" s="7"/>
      <c r="L17" s="682"/>
    </row>
    <row r="18" spans="2:12" ht="30">
      <c r="B18" s="6"/>
      <c r="C18" s="226" t="s">
        <v>635</v>
      </c>
      <c r="D18" s="225" t="s">
        <v>636</v>
      </c>
      <c r="E18" s="226" t="s">
        <v>637</v>
      </c>
      <c r="F18" s="276"/>
      <c r="G18" s="372">
        <f>+'20'!M16</f>
        <v>281.21004650285852</v>
      </c>
      <c r="H18" s="372">
        <f>+'20'!M23</f>
        <v>22.566925999999999</v>
      </c>
      <c r="I18" s="311">
        <f t="shared" ref="I18:I23" si="2">+G18+H18</f>
        <v>303.77697250285854</v>
      </c>
      <c r="J18" s="7"/>
    </row>
    <row r="19" spans="2:12" ht="30" customHeight="1">
      <c r="B19" s="6"/>
      <c r="C19" s="233" t="s">
        <v>638</v>
      </c>
      <c r="D19" s="224" t="s">
        <v>639</v>
      </c>
      <c r="E19" s="39" t="s">
        <v>640</v>
      </c>
      <c r="F19" s="277"/>
      <c r="G19" s="370">
        <v>0</v>
      </c>
      <c r="H19" s="370">
        <v>0</v>
      </c>
      <c r="I19" s="312">
        <f t="shared" si="2"/>
        <v>0</v>
      </c>
      <c r="J19" s="7"/>
    </row>
    <row r="20" spans="2:12" ht="30">
      <c r="B20" s="6"/>
      <c r="C20" s="225" t="s">
        <v>641</v>
      </c>
      <c r="D20" s="225" t="s">
        <v>633</v>
      </c>
      <c r="E20" s="226" t="s">
        <v>642</v>
      </c>
      <c r="F20" s="276"/>
      <c r="G20" s="372">
        <f>+'20'!M18-'20'!M16</f>
        <v>34.670437401896322</v>
      </c>
      <c r="H20" s="372">
        <f>+'20'!M25-'20'!M23</f>
        <v>2.7822803806843126</v>
      </c>
      <c r="I20" s="311">
        <f t="shared" si="2"/>
        <v>37.452717782580635</v>
      </c>
      <c r="J20" s="7"/>
    </row>
    <row r="21" spans="2:12" ht="30" customHeight="1">
      <c r="B21" s="6"/>
      <c r="C21" s="233" t="s">
        <v>643</v>
      </c>
      <c r="D21" s="224" t="s">
        <v>633</v>
      </c>
      <c r="E21" s="39" t="s">
        <v>644</v>
      </c>
      <c r="F21" s="277"/>
      <c r="G21" s="499">
        <f>+'21'!J42</f>
        <v>4.1249346141581711E-2</v>
      </c>
      <c r="H21" s="499">
        <f>+'21'!J63</f>
        <v>0</v>
      </c>
      <c r="I21" s="312">
        <f t="shared" si="2"/>
        <v>4.1249346141581711E-2</v>
      </c>
      <c r="J21" s="7"/>
    </row>
    <row r="22" spans="2:12" ht="30">
      <c r="B22" s="6"/>
      <c r="C22" s="266" t="s">
        <v>645</v>
      </c>
      <c r="D22" s="225" t="s">
        <v>633</v>
      </c>
      <c r="E22" s="226" t="s">
        <v>646</v>
      </c>
      <c r="F22" s="276"/>
      <c r="G22" s="372">
        <v>3.5016670911915257</v>
      </c>
      <c r="H22" s="372">
        <v>0</v>
      </c>
      <c r="I22" s="311">
        <f t="shared" si="2"/>
        <v>3.5016670911915257</v>
      </c>
      <c r="J22" s="7"/>
      <c r="K22" s="620"/>
      <c r="L22" s="623"/>
    </row>
    <row r="23" spans="2:12" ht="43.5" customHeight="1">
      <c r="B23" s="6"/>
      <c r="C23" s="233" t="s">
        <v>647</v>
      </c>
      <c r="D23" s="224" t="s">
        <v>648</v>
      </c>
      <c r="E23" s="39" t="s">
        <v>649</v>
      </c>
      <c r="F23" s="391"/>
      <c r="G23" s="370">
        <v>0</v>
      </c>
      <c r="H23" s="370">
        <v>0</v>
      </c>
      <c r="I23" s="312">
        <f t="shared" si="2"/>
        <v>0</v>
      </c>
      <c r="J23" s="7"/>
    </row>
    <row r="24" spans="2:12" ht="23.25" customHeight="1">
      <c r="B24" s="6"/>
      <c r="C24" s="42" t="s">
        <v>650</v>
      </c>
      <c r="D24" s="63" t="s">
        <v>651</v>
      </c>
      <c r="E24" s="63" t="s">
        <v>652</v>
      </c>
      <c r="F24" s="277"/>
      <c r="G24" s="309">
        <f>G16-G17-G22</f>
        <v>-94.89063315029513</v>
      </c>
      <c r="H24" s="142">
        <f>H16-H17-H22</f>
        <v>-21.268115119315691</v>
      </c>
      <c r="I24" s="310">
        <f>+G24+H24</f>
        <v>-116.15874826961083</v>
      </c>
      <c r="J24" s="7"/>
    </row>
    <row r="25" spans="2:12" ht="23.25" customHeight="1">
      <c r="B25" s="6"/>
      <c r="C25" s="42" t="s">
        <v>621</v>
      </c>
      <c r="D25" s="63" t="s">
        <v>653</v>
      </c>
      <c r="E25" s="42"/>
      <c r="F25" s="215"/>
      <c r="G25" s="142">
        <f>+$F$15*G24</f>
        <v>-22.316693986975771</v>
      </c>
      <c r="H25" s="142">
        <f>+$F$15*H24</f>
        <v>-5.001905889338718</v>
      </c>
      <c r="I25" s="310">
        <f t="shared" ref="I25" si="3">+G25+H25</f>
        <v>-27.31859987631449</v>
      </c>
      <c r="J25" s="7"/>
    </row>
    <row r="26" spans="2:12" ht="23.25" customHeight="1">
      <c r="B26" s="6"/>
      <c r="C26" s="397" t="s">
        <v>654</v>
      </c>
      <c r="I26" s="674"/>
      <c r="J26" s="7"/>
    </row>
    <row r="27" spans="2:12">
      <c r="B27" s="6"/>
      <c r="C27" s="136" t="s">
        <v>655</v>
      </c>
      <c r="J27" s="7"/>
    </row>
    <row r="28" spans="2:12" ht="30">
      <c r="B28" s="6"/>
      <c r="C28" s="291" t="s">
        <v>620</v>
      </c>
      <c r="D28" s="86" t="s">
        <v>624</v>
      </c>
      <c r="E28" s="291" t="s">
        <v>625</v>
      </c>
      <c r="F28" s="262" t="s">
        <v>354</v>
      </c>
      <c r="G28" s="256" t="s">
        <v>379</v>
      </c>
      <c r="H28" s="256" t="s">
        <v>347</v>
      </c>
      <c r="I28" s="257" t="s">
        <v>380</v>
      </c>
      <c r="J28" s="7"/>
    </row>
    <row r="29" spans="2:12">
      <c r="B29" s="6"/>
      <c r="C29" s="39" t="s">
        <v>656</v>
      </c>
      <c r="D29" s="273">
        <v>0.15</v>
      </c>
      <c r="E29" s="39" t="s">
        <v>657</v>
      </c>
      <c r="F29" s="585">
        <v>0.15</v>
      </c>
      <c r="G29" s="264"/>
      <c r="H29" s="264"/>
      <c r="I29" s="265"/>
      <c r="J29" s="7"/>
    </row>
    <row r="30" spans="2:12">
      <c r="B30" s="6"/>
      <c r="C30" s="226" t="s">
        <v>658</v>
      </c>
      <c r="D30" s="225" t="s">
        <v>659</v>
      </c>
      <c r="E30" s="226" t="s">
        <v>660</v>
      </c>
      <c r="F30" s="274"/>
      <c r="G30" s="278">
        <f>+G32+G33+G34+G35</f>
        <v>0</v>
      </c>
      <c r="H30" s="278">
        <f>+H32+H33+H34+H35</f>
        <v>0</v>
      </c>
      <c r="I30" s="311">
        <f t="shared" ref="I30" si="4">+G30+H30</f>
        <v>0</v>
      </c>
      <c r="J30" s="7"/>
    </row>
    <row r="31" spans="2:12" ht="30">
      <c r="B31" s="6"/>
      <c r="C31" s="39" t="s">
        <v>661</v>
      </c>
      <c r="D31" s="224" t="s">
        <v>633</v>
      </c>
      <c r="E31" s="39" t="s">
        <v>662</v>
      </c>
      <c r="F31" s="275"/>
      <c r="G31" s="370">
        <v>0</v>
      </c>
      <c r="H31" s="370">
        <v>0</v>
      </c>
      <c r="I31" s="312">
        <f>+G31+H31</f>
        <v>0</v>
      </c>
      <c r="J31" s="7"/>
    </row>
    <row r="32" spans="2:12" ht="30">
      <c r="B32" s="6"/>
      <c r="C32" s="226" t="s">
        <v>663</v>
      </c>
      <c r="D32" s="225" t="s">
        <v>636</v>
      </c>
      <c r="E32" s="226" t="s">
        <v>664</v>
      </c>
      <c r="F32" s="276"/>
      <c r="G32" s="372">
        <v>0</v>
      </c>
      <c r="H32" s="372">
        <v>0</v>
      </c>
      <c r="I32" s="311">
        <f t="shared" ref="I32:I38" si="5">+G32+H32</f>
        <v>0</v>
      </c>
      <c r="J32" s="7"/>
    </row>
    <row r="33" spans="2:10" ht="30">
      <c r="B33" s="6"/>
      <c r="C33" s="233" t="s">
        <v>665</v>
      </c>
      <c r="D33" s="224" t="s">
        <v>639</v>
      </c>
      <c r="E33" s="39" t="s">
        <v>666</v>
      </c>
      <c r="F33" s="277"/>
      <c r="G33" s="370">
        <v>0</v>
      </c>
      <c r="H33" s="370">
        <v>0</v>
      </c>
      <c r="I33" s="312">
        <f t="shared" si="5"/>
        <v>0</v>
      </c>
      <c r="J33" s="7"/>
    </row>
    <row r="34" spans="2:10" ht="30">
      <c r="B34" s="6"/>
      <c r="C34" s="225" t="s">
        <v>667</v>
      </c>
      <c r="D34" s="225" t="s">
        <v>633</v>
      </c>
      <c r="E34" s="226" t="s">
        <v>668</v>
      </c>
      <c r="F34" s="276"/>
      <c r="G34" s="372">
        <v>0</v>
      </c>
      <c r="H34" s="372">
        <v>0</v>
      </c>
      <c r="I34" s="311">
        <f t="shared" si="5"/>
        <v>0</v>
      </c>
      <c r="J34" s="7"/>
    </row>
    <row r="35" spans="2:10" ht="30">
      <c r="B35" s="6"/>
      <c r="C35" s="233" t="s">
        <v>669</v>
      </c>
      <c r="D35" s="224" t="s">
        <v>633</v>
      </c>
      <c r="E35" s="39" t="s">
        <v>670</v>
      </c>
      <c r="F35" s="277"/>
      <c r="G35" s="370">
        <v>0</v>
      </c>
      <c r="H35" s="370">
        <v>0</v>
      </c>
      <c r="I35" s="312">
        <f t="shared" si="5"/>
        <v>0</v>
      </c>
      <c r="J35" s="7"/>
    </row>
    <row r="36" spans="2:10" ht="30">
      <c r="B36" s="6"/>
      <c r="C36" s="266" t="s">
        <v>671</v>
      </c>
      <c r="D36" s="225" t="s">
        <v>633</v>
      </c>
      <c r="E36" s="226" t="s">
        <v>672</v>
      </c>
      <c r="F36" s="398"/>
      <c r="G36" s="372">
        <v>0</v>
      </c>
      <c r="H36" s="372">
        <v>0</v>
      </c>
      <c r="I36" s="311">
        <f t="shared" si="5"/>
        <v>0</v>
      </c>
      <c r="J36" s="7"/>
    </row>
    <row r="37" spans="2:10" ht="23.25" customHeight="1">
      <c r="B37" s="6"/>
      <c r="C37" s="42" t="s">
        <v>673</v>
      </c>
      <c r="D37" s="63" t="s">
        <v>674</v>
      </c>
      <c r="E37" s="63" t="s">
        <v>675</v>
      </c>
      <c r="F37" s="277"/>
      <c r="G37" s="309">
        <f>G30-G31-G36</f>
        <v>0</v>
      </c>
      <c r="H37" s="142">
        <f>H30-H31-H36</f>
        <v>0</v>
      </c>
      <c r="I37" s="310">
        <f>+G37+H37</f>
        <v>0</v>
      </c>
      <c r="J37" s="7"/>
    </row>
    <row r="38" spans="2:10">
      <c r="B38" s="6"/>
      <c r="C38" s="42" t="s">
        <v>622</v>
      </c>
      <c r="D38" s="63" t="s">
        <v>676</v>
      </c>
      <c r="E38" s="42"/>
      <c r="F38" s="215"/>
      <c r="G38" s="142">
        <f>+$F$29*G37</f>
        <v>0</v>
      </c>
      <c r="H38" s="142">
        <f>+$F$29*H37</f>
        <v>0</v>
      </c>
      <c r="I38" s="310">
        <f t="shared" si="5"/>
        <v>0</v>
      </c>
      <c r="J38" s="7"/>
    </row>
    <row r="39" spans="2:10">
      <c r="B39" s="9"/>
      <c r="C39" s="10"/>
      <c r="D39" s="10"/>
      <c r="E39" s="10"/>
      <c r="F39" s="10"/>
      <c r="G39" s="10"/>
      <c r="H39" s="10"/>
      <c r="I39" s="10"/>
      <c r="J39" s="23"/>
    </row>
  </sheetData>
  <mergeCells count="1">
    <mergeCell ref="B3:G3"/>
  </mergeCells>
  <hyperlinks>
    <hyperlink ref="B2" location="Contents!A1" display="Calculation of base capex expenditure adjustment" xr:uid="{D93B329D-2181-43E6-8C29-E2B4EF5052D6}"/>
  </hyperlinks>
  <pageMargins left="0.70866141732283472" right="0.70866141732283472" top="0.74803149606299213" bottom="0.74803149606299213" header="0.31496062992125984" footer="0.31496062992125984"/>
  <pageSetup paperSize="9" scale="57" orientation="landscape" r:id="rId1"/>
  <headerFooter>
    <oddFooter>&amp;L&amp;F&amp;C&amp;D&amp;RSheet: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50C31-3C4C-4424-A0F5-52FDCEA0F9C6}">
  <sheetPr codeName="Sheet2">
    <pageSetUpPr fitToPage="1"/>
  </sheetPr>
  <dimension ref="B2:D46"/>
  <sheetViews>
    <sheetView view="pageBreakPreview" zoomScale="64" zoomScaleNormal="100" zoomScaleSheetLayoutView="100" workbookViewId="0"/>
  </sheetViews>
  <sheetFormatPr defaultColWidth="9" defaultRowHeight="15"/>
  <cols>
    <col min="1" max="1" width="5.7109375" style="2" customWidth="1"/>
    <col min="2" max="2" width="174" style="2" customWidth="1"/>
    <col min="3" max="3" width="12.5703125" style="2" customWidth="1"/>
    <col min="4" max="4" width="83.42578125" style="2" customWidth="1"/>
    <col min="5" max="16384" width="9" style="2"/>
  </cols>
  <sheetData>
    <row r="2" spans="2:4" ht="18.75">
      <c r="B2" s="11" t="s">
        <v>5</v>
      </c>
      <c r="C2" s="4"/>
      <c r="D2" s="5"/>
    </row>
    <row r="3" spans="2:4">
      <c r="B3" s="6"/>
      <c r="D3" s="7"/>
    </row>
    <row r="4" spans="2:4" ht="45" customHeight="1">
      <c r="B4" s="711" t="s">
        <v>6</v>
      </c>
      <c r="C4" s="712"/>
      <c r="D4" s="713"/>
    </row>
    <row r="5" spans="2:4">
      <c r="B5" s="714" t="s">
        <v>901</v>
      </c>
      <c r="C5" s="715"/>
      <c r="D5" s="716"/>
    </row>
    <row r="6" spans="2:4" ht="14.25" customHeight="1">
      <c r="B6" s="347"/>
      <c r="C6" s="3"/>
      <c r="D6" s="8"/>
    </row>
    <row r="7" spans="2:4" ht="14.25" customHeight="1">
      <c r="B7" s="711" t="s">
        <v>7</v>
      </c>
      <c r="C7" s="712"/>
      <c r="D7" s="713"/>
    </row>
    <row r="8" spans="2:4">
      <c r="B8" s="6"/>
      <c r="D8" s="7"/>
    </row>
    <row r="9" spans="2:4" ht="30.75" customHeight="1">
      <c r="B9" s="711" t="s">
        <v>8</v>
      </c>
      <c r="C9" s="712"/>
      <c r="D9" s="713"/>
    </row>
    <row r="10" spans="2:4">
      <c r="B10" s="6"/>
      <c r="D10" s="7"/>
    </row>
    <row r="11" spans="2:4" ht="30">
      <c r="B11" s="42" t="s">
        <v>9</v>
      </c>
      <c r="C11" s="384" t="s">
        <v>10</v>
      </c>
      <c r="D11" s="67" t="s">
        <v>11</v>
      </c>
    </row>
    <row r="12" spans="2:4">
      <c r="B12" s="404" t="str">
        <f>+'1'!B2</f>
        <v>The Annual Compliance Statement - Part 1</v>
      </c>
      <c r="C12" s="405" t="s">
        <v>12</v>
      </c>
      <c r="D12" s="406" t="s">
        <v>13</v>
      </c>
    </row>
    <row r="13" spans="2:4">
      <c r="B13" s="6" t="str">
        <f>+'2'!B2</f>
        <v>The Annual Compliance Statement - Part 2</v>
      </c>
      <c r="C13" s="376" t="s">
        <v>14</v>
      </c>
      <c r="D13" s="7" t="s">
        <v>15</v>
      </c>
    </row>
    <row r="14" spans="2:4">
      <c r="B14" s="15" t="str">
        <f>+'3'!B2</f>
        <v>The Independent Assurance Report</v>
      </c>
      <c r="C14" s="383" t="s">
        <v>16</v>
      </c>
      <c r="D14" s="17" t="s">
        <v>17</v>
      </c>
    </row>
    <row r="15" spans="2:4" ht="30">
      <c r="B15" s="42" t="s">
        <v>18</v>
      </c>
      <c r="C15" s="384" t="s">
        <v>10</v>
      </c>
      <c r="D15" s="67" t="s">
        <v>11</v>
      </c>
    </row>
    <row r="16" spans="2:4">
      <c r="B16" s="12" t="str">
        <f>+'4'!B2</f>
        <v xml:space="preserve">The ex-post economic gain or loss for the disclosure year, calculated in accordance with clause 29.1 and Schedule E </v>
      </c>
      <c r="C16" s="374" t="s">
        <v>19</v>
      </c>
      <c r="D16" s="14" t="s">
        <v>20</v>
      </c>
    </row>
    <row r="17" spans="2:4">
      <c r="B17" s="6" t="str">
        <f>+'5'!B53</f>
        <v>The forecast revenue for electricity transmission services used for setting charges under the TPM</v>
      </c>
      <c r="C17" s="376" t="s">
        <v>21</v>
      </c>
      <c r="D17" s="7" t="s">
        <v>22</v>
      </c>
    </row>
    <row r="18" spans="2:4">
      <c r="B18" s="12" t="str">
        <f>+'6'!B2</f>
        <v>Transmission revenue received for the pricing year</v>
      </c>
      <c r="C18" s="374" t="s">
        <v>23</v>
      </c>
      <c r="D18" s="14" t="s">
        <v>24</v>
      </c>
    </row>
    <row r="19" spans="2:4">
      <c r="B19" s="6" t="str">
        <f>+'6'!B3</f>
        <v>Other regulated income received for the pricing year</v>
      </c>
      <c r="C19" s="376" t="s">
        <v>23</v>
      </c>
      <c r="D19" s="7" t="s">
        <v>25</v>
      </c>
    </row>
    <row r="20" spans="2:4">
      <c r="B20" s="12" t="str">
        <f>+'4'!B52</f>
        <v xml:space="preserve">A description and explanation of any voluntary revenue reduction Transpower has made in calculating the ex-post economic gain or loss for the disclosure year </v>
      </c>
      <c r="C20" s="374" t="s">
        <v>19</v>
      </c>
      <c r="D20" s="14" t="s">
        <v>26</v>
      </c>
    </row>
    <row r="21" spans="2:4">
      <c r="B21" s="6" t="str">
        <f>+'7'!B2</f>
        <v>An updated summary of the EV account as set out in Schedule B</v>
      </c>
      <c r="C21" s="376" t="s">
        <v>27</v>
      </c>
      <c r="D21" s="7" t="s">
        <v>28</v>
      </c>
    </row>
    <row r="22" spans="2:4">
      <c r="B22" s="12" t="str">
        <f>+'8'!B2</f>
        <v>An updated forecast EV account balance at the end of RCP3</v>
      </c>
      <c r="C22" s="374" t="s">
        <v>29</v>
      </c>
      <c r="D22" s="14" t="s">
        <v>28</v>
      </c>
    </row>
    <row r="23" spans="2:4">
      <c r="B23" s="6" t="str">
        <f>+'9'!B2</f>
        <v>A summary of pass-through costs and recoverable costs for the disclosure year as set out in Schedule H</v>
      </c>
      <c r="C23" s="376" t="s">
        <v>30</v>
      </c>
      <c r="D23" s="7" t="s">
        <v>31</v>
      </c>
    </row>
    <row r="24" spans="2:4">
      <c r="B24" s="12" t="str">
        <f>+'9'!B25</f>
        <v>A description and explanation of any opex incurred as part of a major capex project</v>
      </c>
      <c r="C24" s="374" t="s">
        <v>30</v>
      </c>
      <c r="D24" s="14" t="s">
        <v>32</v>
      </c>
    </row>
    <row r="25" spans="2:4">
      <c r="B25" s="6" t="str">
        <f>+'9'!B29</f>
        <v>A summary of any prudent net additional opex incurred in responding to a catastrophic event, as determined by the Commission</v>
      </c>
      <c r="C25" s="376" t="s">
        <v>30</v>
      </c>
      <c r="D25" s="7" t="s">
        <v>33</v>
      </c>
    </row>
    <row r="26" spans="2:4">
      <c r="B26" s="12" t="str">
        <f>+'10'!B2</f>
        <v>An explanation for the differences between the forecast opex and actual opex, including for the operating lease payments otherwise capitalised in accordance with the Transpower IM</v>
      </c>
      <c r="C26" s="374" t="s">
        <v>34</v>
      </c>
      <c r="D26" s="14" t="s">
        <v>35</v>
      </c>
    </row>
    <row r="27" spans="2:4">
      <c r="B27" s="6" t="str">
        <f>+'11'!B2</f>
        <v>Updated summaries of the approved base capex as set out in Schedules C1 to C4</v>
      </c>
      <c r="C27" s="376" t="s">
        <v>36</v>
      </c>
      <c r="D27" s="7" t="s">
        <v>37</v>
      </c>
    </row>
    <row r="28" spans="2:4">
      <c r="B28" s="12" t="str">
        <f>+'11'!B47</f>
        <v>Details of any changes to Transpower's policy of hedging capital expenditure during the disclosure year</v>
      </c>
      <c r="C28" s="374" t="s">
        <v>36</v>
      </c>
      <c r="D28" s="14" t="s">
        <v>38</v>
      </c>
    </row>
    <row r="29" spans="2:4">
      <c r="B29" s="9" t="str">
        <f>+'7'!B17</f>
        <v>A description of the adjustment to the EV account from a normalisation event, where a normalisation event is excluded from a calculation made for a revenue-linked grid output measure</v>
      </c>
      <c r="C29" s="399" t="s">
        <v>27</v>
      </c>
      <c r="D29" s="23" t="s">
        <v>39</v>
      </c>
    </row>
    <row r="30" spans="2:4" ht="30">
      <c r="B30" s="42" t="s">
        <v>40</v>
      </c>
      <c r="C30" s="384" t="s">
        <v>10</v>
      </c>
      <c r="D30" s="67" t="s">
        <v>11</v>
      </c>
    </row>
    <row r="31" spans="2:4" ht="30">
      <c r="B31" s="480" t="str">
        <f>+'5'!B2</f>
        <v>Full building blocks calculation of the economic gain or loss for the disclosure year</v>
      </c>
      <c r="C31" s="374" t="s">
        <v>21</v>
      </c>
      <c r="D31" s="408" t="s">
        <v>41</v>
      </c>
    </row>
    <row r="32" spans="2:4">
      <c r="B32" s="6" t="str">
        <f>+'12'!B2</f>
        <v>Regulated Asset Base (RAB) roll forward</v>
      </c>
      <c r="C32" s="376" t="s">
        <v>42</v>
      </c>
      <c r="D32" s="7" t="s">
        <v>43</v>
      </c>
    </row>
    <row r="33" spans="2:4">
      <c r="B33" s="12" t="str">
        <f>+'13'!B2</f>
        <v>Depreciation</v>
      </c>
      <c r="C33" s="374" t="s">
        <v>44</v>
      </c>
      <c r="D33" s="14" t="s">
        <v>45</v>
      </c>
    </row>
    <row r="34" spans="2:4">
      <c r="B34" s="6" t="str">
        <f>+'14'!B2</f>
        <v xml:space="preserve">The opex allowance and forecast opex </v>
      </c>
      <c r="C34" s="376" t="s">
        <v>46</v>
      </c>
      <c r="D34" s="7" t="s">
        <v>47</v>
      </c>
    </row>
    <row r="35" spans="2:4">
      <c r="B35" s="12" t="str">
        <f>+'15'!B2</f>
        <v>The regulatory tax allowance</v>
      </c>
      <c r="C35" s="374" t="s">
        <v>48</v>
      </c>
      <c r="D35" s="14" t="s">
        <v>45</v>
      </c>
    </row>
    <row r="36" spans="2:4">
      <c r="B36" s="6" t="str">
        <f>+'16'!B2</f>
        <v>EV account entries</v>
      </c>
      <c r="C36" s="376" t="s">
        <v>49</v>
      </c>
      <c r="D36" s="7" t="s">
        <v>50</v>
      </c>
    </row>
    <row r="37" spans="2:4">
      <c r="B37" s="12" t="str">
        <f>+'17'!B2</f>
        <v>Calculation of base capex expenditure adjustment</v>
      </c>
      <c r="C37" s="374" t="s">
        <v>51</v>
      </c>
      <c r="D37" s="14" t="s">
        <v>52</v>
      </c>
    </row>
    <row r="38" spans="2:4">
      <c r="B38" s="6" t="str">
        <f>+'18'!B2</f>
        <v>Calculation of major capex expenditure and output adjustment</v>
      </c>
      <c r="C38" s="376" t="s">
        <v>53</v>
      </c>
      <c r="D38" s="7" t="s">
        <v>54</v>
      </c>
    </row>
    <row r="39" spans="2:4">
      <c r="B39" s="12" t="str">
        <f>+'19'!B2</f>
        <v>Calculation of grid output adjustment</v>
      </c>
      <c r="C39" s="374" t="s">
        <v>55</v>
      </c>
      <c r="D39" s="14" t="s">
        <v>56</v>
      </c>
    </row>
    <row r="40" spans="2:4">
      <c r="B40" s="6" t="str">
        <f>+'20'!B2</f>
        <v>Standard incentive rate base capex allowance - expenditure basis (excluding capitalised operating leases)</v>
      </c>
      <c r="C40" s="376" t="s">
        <v>57</v>
      </c>
      <c r="D40" s="7" t="s">
        <v>58</v>
      </c>
    </row>
    <row r="41" spans="2:4">
      <c r="B41" s="15" t="str">
        <f>+'21'!B2</f>
        <v xml:space="preserve">Amount of the standard incentive rate base capex allowance paid for in foreign currency - expenditure basis (excluding capitalised operating leases) </v>
      </c>
      <c r="C41" s="383" t="s">
        <v>59</v>
      </c>
      <c r="D41" s="17" t="s">
        <v>60</v>
      </c>
    </row>
    <row r="42" spans="2:4" ht="30">
      <c r="B42" s="42" t="s">
        <v>61</v>
      </c>
      <c r="C42" s="384" t="s">
        <v>10</v>
      </c>
      <c r="D42" s="67" t="s">
        <v>11</v>
      </c>
    </row>
    <row r="43" spans="2:4">
      <c r="B43" s="12" t="str">
        <f>+'22'!B2</f>
        <v>Compliance checklist for Wash-up building blocks calculation</v>
      </c>
      <c r="C43" s="374" t="s">
        <v>62</v>
      </c>
      <c r="D43" s="14" t="s">
        <v>63</v>
      </c>
    </row>
    <row r="44" spans="2:4">
      <c r="B44" s="9" t="str">
        <f>+'23'!B2</f>
        <v>Compliance checklist for EV account summary</v>
      </c>
      <c r="C44" s="399" t="s">
        <v>64</v>
      </c>
      <c r="D44" s="23" t="s">
        <v>65</v>
      </c>
    </row>
    <row r="45" spans="2:4" ht="30">
      <c r="B45" s="42" t="s">
        <v>897</v>
      </c>
      <c r="C45" s="384" t="s">
        <v>10</v>
      </c>
      <c r="D45" s="67" t="s">
        <v>11</v>
      </c>
    </row>
    <row r="46" spans="2:4">
      <c r="B46" s="12" t="str">
        <f>+'2(a)'!B2</f>
        <v>The Annual Compliance Statement - Part 2 (alternative)</v>
      </c>
      <c r="C46" s="374" t="s">
        <v>66</v>
      </c>
      <c r="D46" s="14" t="s">
        <v>898</v>
      </c>
    </row>
  </sheetData>
  <mergeCells count="4">
    <mergeCell ref="B4:D4"/>
    <mergeCell ref="B9:D9"/>
    <mergeCell ref="B7:D7"/>
    <mergeCell ref="B5:D5"/>
  </mergeCells>
  <phoneticPr fontId="1" type="noConversion"/>
  <hyperlinks>
    <hyperlink ref="C12" location="'1'!B2" display="Tab 1" xr:uid="{20BCE06D-060F-49D8-9E20-6CC1276FD03C}"/>
    <hyperlink ref="C14" location="'3'!B2" display="Tab 3" xr:uid="{B04A12F7-5D23-40D8-B035-EED698B01FFE}"/>
    <hyperlink ref="C16" location="'4'!B2" display="Tab 4" xr:uid="{7F30C875-82AC-4154-9DB4-BFAF2144EE31}"/>
    <hyperlink ref="C17" location="'5'!B51" display="Tab 5" xr:uid="{25C6767C-96FA-4020-902C-FCCE8EA0BBDC}"/>
    <hyperlink ref="C18" location="'6'!B2" display="Tab 6" xr:uid="{9C6E3D62-1171-46D9-A35C-206E0A78AA25}"/>
    <hyperlink ref="C19" location="'6'!B3" display="Tab 6" xr:uid="{C3555DB4-8EA1-41EE-8F51-541E6D212198}"/>
    <hyperlink ref="C20" location="'4'!B52" display="Tab 4" xr:uid="{DDF4E3F9-2F53-4F2D-9C91-CEA13DEB780B}"/>
    <hyperlink ref="C21" location="'7'!B2" display="Tab 7" xr:uid="{ED720F88-0AE1-4496-AD4F-BD8918C7452B}"/>
    <hyperlink ref="C23" location="'9'!B2" display="Tab 9" xr:uid="{10BCBAA0-B6D8-4BB3-8FA7-BED56901963A}"/>
    <hyperlink ref="C24" location="'9'!B25" display="Tab 9" xr:uid="{442328BE-8559-41CA-B788-C337B870F27F}"/>
    <hyperlink ref="C25" location="'9'!B29" display="Tab 9" xr:uid="{650A6840-8F58-4CA0-87D4-211DB7639FFE}"/>
    <hyperlink ref="C26" location="'10'!B2" display="Tab 10" xr:uid="{A99BECF8-A936-4A9B-B4D8-1B2B8F76B0FE}"/>
    <hyperlink ref="C27" location="'11'!B2" display="Tab 11" xr:uid="{8BCC0780-A966-46CC-9E54-29D902580CB8}"/>
    <hyperlink ref="C28" location="'11'!B46" display="Tab 11" xr:uid="{E6F03558-5F7C-4CA1-9103-FA434811935A}"/>
    <hyperlink ref="C29" location="'7'!B17" display="Tab 7" xr:uid="{ECF4D75E-203C-4E5D-B199-CEC15FB3989B}"/>
    <hyperlink ref="C22" location="'8'!B2" display="Tab 8" xr:uid="{7451E729-F46A-42D4-92A0-B38A40571725}"/>
    <hyperlink ref="C31" location="'5'!B2" display="Tab 5" xr:uid="{842FA32A-B933-4A91-A04C-734BF4364248}"/>
    <hyperlink ref="C32" location="'12'!B2" display="Tab 12" xr:uid="{EFB5F1DC-65DD-4233-969C-ADA3661CB8B7}"/>
    <hyperlink ref="C33" location="'13'!B2" display="Tab 13" xr:uid="{16C54DCA-9193-4F80-B185-8867D844A403}"/>
    <hyperlink ref="C34" location="'14'!B2" display="Tab 14" xr:uid="{B2BE606E-A889-4770-B0B6-6A969DFB0086}"/>
    <hyperlink ref="C35" location="'15'!B2" display="Tab 15" xr:uid="{D0FC45E9-9F46-4CE9-B3E6-E7F1E5FBC35B}"/>
    <hyperlink ref="C36" location="'16'!B2" display="Tab 16" xr:uid="{69CF2124-C2A2-4CDC-80AC-FF83C44CDD4E}"/>
    <hyperlink ref="C37" location="'17'!B2" display="Tab 17" xr:uid="{D63C018A-B713-4B36-B280-FEE228313A36}"/>
    <hyperlink ref="C39" location="'19'!B2" display="Tab 19" xr:uid="{C5D6E9E7-704C-4D6F-A6CF-AFA26E5CF714}"/>
    <hyperlink ref="C40" location="'20'!B2" display="Tab 20" xr:uid="{DF1886E2-C2B5-4612-AA65-BFD0889DCA6F}"/>
    <hyperlink ref="C38" location="'18'!B2" display="Tab 18" xr:uid="{D154A403-7C46-4BB4-B437-33C1532EF3FE}"/>
    <hyperlink ref="C13" location="'2'!B2" display="Tab 2" xr:uid="{95D199BC-D3EE-4433-96B5-077240C8FCF2}"/>
    <hyperlink ref="C43" location="'22'!B2" display="Tab 22" xr:uid="{31E9109B-EBB4-464E-92F4-B98C733F640C}"/>
    <hyperlink ref="C44" location="'23'!B2" display="Tab 23" xr:uid="{663FB056-D91C-48EB-8EBF-3E7CD086AF5C}"/>
    <hyperlink ref="C41" location="'21'!B2" display="Tab 21" xr:uid="{C3D313E3-6C31-4D3C-911F-7043ED08C38D}"/>
    <hyperlink ref="C46" location="'2(a)'!B2" display="Tab 2(a)" xr:uid="{99F6781E-6979-40C2-9900-97C6165A568B}"/>
  </hyperlinks>
  <pageMargins left="0.31496062992125984" right="0.31496062992125984" top="0.74803149606299213" bottom="0.74803149606299213" header="0.31496062992125984" footer="0.31496062992125984"/>
  <pageSetup paperSize="8" scale="75" orientation="landscape" r:id="rId1"/>
  <headerFooter>
    <oddFooter>&amp;L&amp;F&amp;C&amp;D&amp;RTab: &amp;A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18F6A-E46D-4B7E-9B0F-B1DE3D4FED7C}">
  <sheetPr codeName="Sheet20">
    <tabColor theme="4" tint="-0.249977111117893"/>
    <pageSetUpPr fitToPage="1"/>
  </sheetPr>
  <dimension ref="B2:J18"/>
  <sheetViews>
    <sheetView view="pageBreakPreview" zoomScaleNormal="100" zoomScaleSheetLayoutView="100" workbookViewId="0"/>
  </sheetViews>
  <sheetFormatPr defaultColWidth="9.140625" defaultRowHeight="15"/>
  <cols>
    <col min="1" max="1" width="9.140625" style="2"/>
    <col min="2" max="2" width="23.5703125" style="2" customWidth="1"/>
    <col min="3" max="3" width="58.42578125" style="2" customWidth="1"/>
    <col min="4" max="4" width="55.85546875" style="2" customWidth="1"/>
    <col min="5" max="6" width="11.28515625" style="2" customWidth="1"/>
    <col min="7" max="16384" width="9.140625" style="2"/>
  </cols>
  <sheetData>
    <row r="2" spans="2:10" ht="18.75">
      <c r="B2" s="742" t="s">
        <v>677</v>
      </c>
      <c r="C2" s="743"/>
      <c r="D2" s="743"/>
      <c r="E2" s="743"/>
      <c r="F2" s="743"/>
      <c r="G2" s="743"/>
      <c r="H2" s="743"/>
      <c r="I2" s="743"/>
      <c r="J2" s="749"/>
    </row>
    <row r="3" spans="2:10">
      <c r="B3" s="711" t="s">
        <v>678</v>
      </c>
      <c r="C3" s="712"/>
      <c r="D3" s="712"/>
      <c r="E3" s="712"/>
      <c r="F3" s="712"/>
      <c r="G3" s="712"/>
      <c r="J3" s="7"/>
    </row>
    <row r="4" spans="2:10">
      <c r="B4" s="24"/>
      <c r="J4" s="7"/>
    </row>
    <row r="5" spans="2:10">
      <c r="B5" s="24"/>
      <c r="J5" s="7"/>
    </row>
    <row r="6" spans="2:10">
      <c r="B6" s="24"/>
      <c r="J6" s="7"/>
    </row>
    <row r="7" spans="2:10">
      <c r="B7" s="6"/>
      <c r="C7" s="136" t="s">
        <v>167</v>
      </c>
      <c r="D7" s="390"/>
      <c r="J7" s="7"/>
    </row>
    <row r="8" spans="2:10" ht="30">
      <c r="B8" s="24"/>
      <c r="C8" s="291" t="s">
        <v>620</v>
      </c>
      <c r="D8" s="86">
        <v>2</v>
      </c>
      <c r="E8" s="291" t="s">
        <v>679</v>
      </c>
      <c r="F8" s="262" t="s">
        <v>354</v>
      </c>
      <c r="G8" s="256" t="s">
        <v>379</v>
      </c>
      <c r="H8" s="256" t="s">
        <v>347</v>
      </c>
      <c r="I8" s="257" t="s">
        <v>380</v>
      </c>
      <c r="J8" s="7"/>
    </row>
    <row r="9" spans="2:10" ht="28.5" customHeight="1">
      <c r="B9" s="6"/>
      <c r="C9" s="39" t="s">
        <v>680</v>
      </c>
      <c r="D9" s="263" t="s">
        <v>681</v>
      </c>
      <c r="E9" s="39" t="s">
        <v>628</v>
      </c>
      <c r="F9" s="585">
        <v>0.15</v>
      </c>
      <c r="G9" s="264"/>
      <c r="H9" s="264"/>
      <c r="I9" s="265"/>
      <c r="J9" s="7"/>
    </row>
    <row r="10" spans="2:10">
      <c r="B10" s="6"/>
      <c r="C10" s="226" t="s">
        <v>682</v>
      </c>
      <c r="D10" s="225" t="s">
        <v>683</v>
      </c>
      <c r="E10" s="226" t="s">
        <v>631</v>
      </c>
      <c r="F10" s="274"/>
      <c r="G10" s="278">
        <f>+G12+G13+G14</f>
        <v>50.537999999999997</v>
      </c>
      <c r="H10" s="278">
        <f>+H12+H13+H14</f>
        <v>0</v>
      </c>
      <c r="I10" s="311">
        <f t="shared" ref="I10:I15" si="0">+G10+H10</f>
        <v>50.537999999999997</v>
      </c>
      <c r="J10" s="7"/>
    </row>
    <row r="11" spans="2:10" ht="28.5" customHeight="1">
      <c r="B11" s="6"/>
      <c r="C11" s="233" t="s">
        <v>684</v>
      </c>
      <c r="D11" s="224" t="s">
        <v>685</v>
      </c>
      <c r="E11" s="39" t="s">
        <v>634</v>
      </c>
      <c r="F11" s="275"/>
      <c r="G11" s="370">
        <v>31.456053000000001</v>
      </c>
      <c r="H11" s="370">
        <v>0</v>
      </c>
      <c r="I11" s="312">
        <f>+G11+H11</f>
        <v>31.456053000000001</v>
      </c>
      <c r="J11" s="7"/>
    </row>
    <row r="12" spans="2:10" ht="30">
      <c r="B12" s="6"/>
      <c r="C12" s="266" t="s">
        <v>686</v>
      </c>
      <c r="D12" s="225" t="s">
        <v>681</v>
      </c>
      <c r="E12" s="226" t="s">
        <v>637</v>
      </c>
      <c r="F12" s="276"/>
      <c r="G12" s="372">
        <v>45.93</v>
      </c>
      <c r="H12" s="372">
        <v>0</v>
      </c>
      <c r="I12" s="311">
        <f t="shared" si="0"/>
        <v>45.93</v>
      </c>
      <c r="J12" s="7"/>
    </row>
    <row r="13" spans="2:10" ht="31.5" customHeight="1">
      <c r="B13" s="6"/>
      <c r="C13" s="233" t="s">
        <v>687</v>
      </c>
      <c r="D13" s="224" t="s">
        <v>685</v>
      </c>
      <c r="E13" s="39" t="s">
        <v>642</v>
      </c>
      <c r="F13" s="277"/>
      <c r="G13" s="370">
        <v>2</v>
      </c>
      <c r="H13" s="370">
        <v>0</v>
      </c>
      <c r="I13" s="312">
        <f t="shared" si="0"/>
        <v>2</v>
      </c>
      <c r="J13" s="7"/>
    </row>
    <row r="14" spans="2:10" ht="30">
      <c r="B14" s="6"/>
      <c r="C14" s="225" t="s">
        <v>688</v>
      </c>
      <c r="D14" s="225" t="s">
        <v>685</v>
      </c>
      <c r="E14" s="226" t="s">
        <v>644</v>
      </c>
      <c r="F14" s="276"/>
      <c r="G14" s="372">
        <v>2.6079999999999997</v>
      </c>
      <c r="H14" s="372">
        <v>0</v>
      </c>
      <c r="I14" s="311">
        <f t="shared" si="0"/>
        <v>2.6079999999999997</v>
      </c>
      <c r="J14" s="7"/>
    </row>
    <row r="15" spans="2:10" ht="33.75" customHeight="1">
      <c r="B15" s="6"/>
      <c r="C15" s="233" t="s">
        <v>689</v>
      </c>
      <c r="D15" s="224" t="s">
        <v>690</v>
      </c>
      <c r="E15" s="39" t="s">
        <v>691</v>
      </c>
      <c r="F15" s="391"/>
      <c r="G15" s="392">
        <v>0</v>
      </c>
      <c r="H15" s="393">
        <v>0</v>
      </c>
      <c r="I15" s="394">
        <f t="shared" si="0"/>
        <v>0</v>
      </c>
      <c r="J15" s="7"/>
    </row>
    <row r="16" spans="2:10" ht="23.25" customHeight="1">
      <c r="B16" s="6"/>
      <c r="C16" s="42" t="s">
        <v>692</v>
      </c>
      <c r="D16" s="63" t="s">
        <v>693</v>
      </c>
      <c r="E16" s="63" t="s">
        <v>442</v>
      </c>
      <c r="F16" s="277"/>
      <c r="G16" s="309">
        <f>+G10-G15-G11</f>
        <v>19.081946999999996</v>
      </c>
      <c r="H16" s="142">
        <f>+H10-H15-H11</f>
        <v>0</v>
      </c>
      <c r="I16" s="310">
        <f>+G16+H16</f>
        <v>19.081946999999996</v>
      </c>
      <c r="J16" s="7"/>
    </row>
    <row r="17" spans="2:10" ht="23.25" customHeight="1">
      <c r="B17" s="6"/>
      <c r="C17" s="235" t="s">
        <v>694</v>
      </c>
      <c r="D17" s="245" t="s">
        <v>695</v>
      </c>
      <c r="E17" s="235"/>
      <c r="F17" s="239"/>
      <c r="G17" s="237">
        <f>IF(G11&gt;0,G16*$F$9,)</f>
        <v>2.8622920499999993</v>
      </c>
      <c r="H17" s="237">
        <f>IF(H11&gt;0,H16*$F$9,)</f>
        <v>0</v>
      </c>
      <c r="I17" s="261">
        <f>+H17+G17</f>
        <v>2.8622920499999993</v>
      </c>
      <c r="J17" s="7"/>
    </row>
    <row r="18" spans="2:10">
      <c r="C18" s="704" t="s">
        <v>696</v>
      </c>
      <c r="D18" s="703" t="s">
        <v>697</v>
      </c>
      <c r="E18" s="10"/>
      <c r="F18" s="10"/>
      <c r="G18" s="10"/>
      <c r="H18" s="10"/>
      <c r="I18" s="10"/>
      <c r="J18" s="23"/>
    </row>
  </sheetData>
  <mergeCells count="2">
    <mergeCell ref="B3:G3"/>
    <mergeCell ref="B2:J2"/>
  </mergeCells>
  <hyperlinks>
    <hyperlink ref="B2" location="Contents!A1" display="Calculation of base capex expenditure adjustment" xr:uid="{0F4BFE01-1D53-4731-831B-7FB9F96F2879}"/>
    <hyperlink ref="D18" r:id="rId1" display="https://comcom.govt.nz/__data/assets/pdf_file/0037/248995/Decision-and-reasons-on-TranspowerE28099s-Bombay-Otahuhu-Regional-major-capex-project-19-March-2021.pdf" xr:uid="{6DFF8C1B-0B5C-4906-B672-E70D8A5DAD71}"/>
  </hyperlinks>
  <pageMargins left="0.70866141732283472" right="0.70866141732283472" top="0.74803149606299213" bottom="0.74803149606299213" header="0.31496062992125984" footer="0.31496062992125984"/>
  <pageSetup paperSize="9" scale="66" orientation="landscape" r:id="rId2"/>
  <headerFooter>
    <oddFooter>&amp;L&amp;F&amp;C&amp;D&amp;RSheet: &amp;A</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6C644-9970-4223-8421-891747776428}">
  <sheetPr codeName="Sheet21">
    <tabColor theme="4" tint="-0.249977111117893"/>
    <pageSetUpPr fitToPage="1"/>
  </sheetPr>
  <dimension ref="B2:M34"/>
  <sheetViews>
    <sheetView view="pageBreakPreview" zoomScaleNormal="100" zoomScaleSheetLayoutView="100" workbookViewId="0"/>
  </sheetViews>
  <sheetFormatPr defaultColWidth="9.140625" defaultRowHeight="15"/>
  <cols>
    <col min="1" max="1" width="9.140625" style="2"/>
    <col min="2" max="2" width="23.5703125" style="2" customWidth="1"/>
    <col min="3" max="3" width="6.7109375" style="2" customWidth="1"/>
    <col min="4" max="4" width="38.28515625" style="2" customWidth="1"/>
    <col min="5" max="5" width="7" style="2" customWidth="1"/>
    <col min="6" max="7" width="7.140625" style="2" customWidth="1"/>
    <col min="8" max="10" width="13.28515625" style="2" customWidth="1"/>
    <col min="11" max="16384" width="9.140625" style="2"/>
  </cols>
  <sheetData>
    <row r="2" spans="2:11" ht="18.75">
      <c r="B2" s="742" t="s">
        <v>698</v>
      </c>
      <c r="C2" s="799"/>
      <c r="D2" s="799"/>
      <c r="E2" s="799"/>
      <c r="F2" s="799"/>
      <c r="G2" s="799"/>
      <c r="H2" s="799"/>
      <c r="I2" s="799"/>
      <c r="J2" s="799"/>
      <c r="K2" s="800"/>
    </row>
    <row r="3" spans="2:11" ht="27" customHeight="1">
      <c r="B3" s="711" t="s">
        <v>699</v>
      </c>
      <c r="C3" s="712"/>
      <c r="D3" s="712"/>
      <c r="E3" s="712"/>
      <c r="F3" s="712"/>
      <c r="G3" s="751"/>
      <c r="H3" s="751"/>
      <c r="I3" s="751"/>
      <c r="J3" s="751"/>
      <c r="K3" s="752"/>
    </row>
    <row r="4" spans="2:11">
      <c r="B4" s="24"/>
      <c r="K4" s="7"/>
    </row>
    <row r="5" spans="2:11">
      <c r="B5" s="24"/>
      <c r="K5" s="7"/>
    </row>
    <row r="6" spans="2:11">
      <c r="B6" s="24"/>
      <c r="K6" s="7"/>
    </row>
    <row r="7" spans="2:11">
      <c r="B7" s="6"/>
      <c r="C7" s="136" t="s">
        <v>700</v>
      </c>
      <c r="D7" s="136"/>
      <c r="K7" s="7"/>
    </row>
    <row r="8" spans="2:11" ht="30">
      <c r="B8" s="24"/>
      <c r="C8" s="740" t="s">
        <v>95</v>
      </c>
      <c r="D8" s="741"/>
      <c r="E8" s="317" t="s">
        <v>96</v>
      </c>
      <c r="F8" s="463" t="s">
        <v>97</v>
      </c>
      <c r="G8" s="463" t="s">
        <v>98</v>
      </c>
      <c r="H8" s="463" t="s">
        <v>701</v>
      </c>
      <c r="I8" s="463" t="s">
        <v>702</v>
      </c>
      <c r="J8" s="317" t="s">
        <v>703</v>
      </c>
      <c r="K8" s="7"/>
    </row>
    <row r="9" spans="2:11">
      <c r="B9" s="33" t="s">
        <v>124</v>
      </c>
      <c r="C9" s="34"/>
      <c r="D9" s="34"/>
      <c r="E9" s="62" t="s">
        <v>125</v>
      </c>
      <c r="F9" s="34" t="s">
        <v>126</v>
      </c>
      <c r="G9" s="34" t="s">
        <v>127</v>
      </c>
      <c r="H9" s="34" t="s">
        <v>704</v>
      </c>
      <c r="I9" s="34" t="s">
        <v>128</v>
      </c>
      <c r="J9" s="62" t="s">
        <v>652</v>
      </c>
      <c r="K9" s="7"/>
    </row>
    <row r="10" spans="2:11" ht="28.5" customHeight="1">
      <c r="B10" s="6"/>
      <c r="C10" s="289" t="s">
        <v>129</v>
      </c>
      <c r="D10" s="290"/>
      <c r="E10" s="300"/>
      <c r="F10" s="300"/>
      <c r="G10" s="300"/>
      <c r="H10" s="299" t="s">
        <v>705</v>
      </c>
      <c r="I10" s="300"/>
      <c r="J10" s="295"/>
      <c r="K10" s="7"/>
    </row>
    <row r="11" spans="2:11">
      <c r="B11" s="6"/>
      <c r="C11" s="226"/>
      <c r="D11" s="226" t="s">
        <v>132</v>
      </c>
      <c r="E11" s="292">
        <f>'2'!E8</f>
        <v>0</v>
      </c>
      <c r="F11" s="292">
        <f>'2'!F8</f>
        <v>7</v>
      </c>
      <c r="G11" s="292">
        <f>'2'!G8</f>
        <v>14</v>
      </c>
      <c r="H11" s="292">
        <v>335714</v>
      </c>
      <c r="I11" s="688">
        <f>+'2'!Q8</f>
        <v>2</v>
      </c>
      <c r="J11" s="301">
        <f t="shared" ref="J11:J16" si="0">+(F11-MAX(MIN(I11,G11),E11))*H11</f>
        <v>1678570</v>
      </c>
      <c r="K11" s="7"/>
    </row>
    <row r="12" spans="2:11">
      <c r="B12" s="6"/>
      <c r="C12" s="39"/>
      <c r="D12" s="39" t="s">
        <v>133</v>
      </c>
      <c r="E12" s="293">
        <f>'2'!E9</f>
        <v>7</v>
      </c>
      <c r="F12" s="293">
        <f>'2'!F9</f>
        <v>24</v>
      </c>
      <c r="G12" s="293">
        <f>'2'!G9</f>
        <v>41</v>
      </c>
      <c r="H12" s="293">
        <v>40294</v>
      </c>
      <c r="I12" s="689">
        <f>+'2'!Q9</f>
        <v>13</v>
      </c>
      <c r="J12" s="302">
        <f t="shared" si="0"/>
        <v>443234</v>
      </c>
      <c r="K12" s="7"/>
    </row>
    <row r="13" spans="2:11">
      <c r="B13" s="6"/>
      <c r="C13" s="226"/>
      <c r="D13" s="226" t="s">
        <v>134</v>
      </c>
      <c r="E13" s="294">
        <f>'2'!E10</f>
        <v>4</v>
      </c>
      <c r="F13" s="294">
        <f>'2'!F10</f>
        <v>6</v>
      </c>
      <c r="G13" s="294">
        <f>'2'!G10</f>
        <v>8</v>
      </c>
      <c r="H13" s="294">
        <v>250000</v>
      </c>
      <c r="I13" s="690">
        <f>+'2'!Q10</f>
        <v>3</v>
      </c>
      <c r="J13" s="303">
        <f t="shared" si="0"/>
        <v>500000</v>
      </c>
      <c r="K13" s="7"/>
    </row>
    <row r="14" spans="2:11">
      <c r="B14" s="6"/>
      <c r="C14" s="39"/>
      <c r="D14" s="39" t="s">
        <v>135</v>
      </c>
      <c r="E14" s="293">
        <f>'2'!E11</f>
        <v>9</v>
      </c>
      <c r="F14" s="293">
        <f>'2'!F11</f>
        <v>23</v>
      </c>
      <c r="G14" s="293">
        <f>'2'!G11</f>
        <v>37</v>
      </c>
      <c r="H14" s="293">
        <v>41786</v>
      </c>
      <c r="I14" s="689">
        <f>+'2'!Q11</f>
        <v>15</v>
      </c>
      <c r="J14" s="302">
        <f t="shared" si="0"/>
        <v>334288</v>
      </c>
      <c r="K14" s="7"/>
    </row>
    <row r="15" spans="2:11">
      <c r="B15" s="6"/>
      <c r="C15" s="226"/>
      <c r="D15" s="226" t="s">
        <v>136</v>
      </c>
      <c r="E15" s="294">
        <f>'2'!E12</f>
        <v>5</v>
      </c>
      <c r="F15" s="294">
        <f>'2'!F12</f>
        <v>9</v>
      </c>
      <c r="G15" s="294">
        <f>'2'!G12</f>
        <v>13</v>
      </c>
      <c r="H15" s="294">
        <v>62500</v>
      </c>
      <c r="I15" s="690">
        <f>+'2'!Q12</f>
        <v>9</v>
      </c>
      <c r="J15" s="303">
        <f t="shared" si="0"/>
        <v>0</v>
      </c>
      <c r="K15" s="7"/>
    </row>
    <row r="16" spans="2:11">
      <c r="B16" s="6"/>
      <c r="C16" s="282"/>
      <c r="D16" s="282" t="s">
        <v>137</v>
      </c>
      <c r="E16" s="296">
        <f>'2'!E13</f>
        <v>6</v>
      </c>
      <c r="F16" s="296">
        <f>'2'!F13</f>
        <v>12</v>
      </c>
      <c r="G16" s="296">
        <f>'2'!G13</f>
        <v>18</v>
      </c>
      <c r="H16" s="296">
        <v>41667</v>
      </c>
      <c r="I16" s="691">
        <f>+'2'!Q13</f>
        <v>6</v>
      </c>
      <c r="J16" s="304">
        <f t="shared" si="0"/>
        <v>250002</v>
      </c>
      <c r="K16" s="7"/>
    </row>
    <row r="17" spans="2:13" ht="28.5" customHeight="1">
      <c r="B17" s="6"/>
      <c r="C17" s="289" t="s">
        <v>138</v>
      </c>
      <c r="D17" s="290"/>
      <c r="E17" s="300"/>
      <c r="F17" s="300"/>
      <c r="G17" s="300"/>
      <c r="H17" s="299" t="s">
        <v>706</v>
      </c>
      <c r="I17" s="692"/>
      <c r="J17" s="295"/>
      <c r="K17" s="7"/>
    </row>
    <row r="18" spans="2:13">
      <c r="B18" s="6"/>
      <c r="C18" s="226"/>
      <c r="D18" s="226" t="s">
        <v>132</v>
      </c>
      <c r="E18" s="292">
        <f>'2'!E15</f>
        <v>30</v>
      </c>
      <c r="F18" s="292">
        <f>'2'!F15</f>
        <v>92</v>
      </c>
      <c r="G18" s="292">
        <f>'2'!G15</f>
        <v>154</v>
      </c>
      <c r="H18" s="292">
        <v>37903</v>
      </c>
      <c r="I18" s="688">
        <f>+'2'!Q15</f>
        <v>93</v>
      </c>
      <c r="J18" s="301">
        <f t="shared" ref="J18:J23" si="1">+(F18-MAX(MIN(I18,G18),E18))*H18</f>
        <v>-37903</v>
      </c>
      <c r="K18" s="7"/>
    </row>
    <row r="19" spans="2:13">
      <c r="B19" s="6"/>
      <c r="C19" s="39"/>
      <c r="D19" s="39" t="s">
        <v>133</v>
      </c>
      <c r="E19" s="293">
        <f>'2'!E16</f>
        <v>36</v>
      </c>
      <c r="F19" s="293">
        <f>'2'!F16</f>
        <v>61</v>
      </c>
      <c r="G19" s="293">
        <f>'2'!G16</f>
        <v>86</v>
      </c>
      <c r="H19" s="293">
        <v>27400</v>
      </c>
      <c r="I19" s="689">
        <f>+'2'!Q16</f>
        <v>70.692307692307693</v>
      </c>
      <c r="J19" s="302">
        <f t="shared" si="1"/>
        <v>-265569.23076923081</v>
      </c>
      <c r="K19" s="7"/>
    </row>
    <row r="20" spans="2:13">
      <c r="B20" s="6"/>
      <c r="C20" s="226"/>
      <c r="D20" s="226" t="s">
        <v>134</v>
      </c>
      <c r="E20" s="294">
        <f>'2'!E17</f>
        <v>0</v>
      </c>
      <c r="F20" s="294">
        <f>'2'!F17</f>
        <v>103</v>
      </c>
      <c r="G20" s="294">
        <f>'2'!G17</f>
        <v>206</v>
      </c>
      <c r="H20" s="294">
        <v>4854</v>
      </c>
      <c r="I20" s="690">
        <f>+'2'!Q17</f>
        <v>37.666666666666664</v>
      </c>
      <c r="J20" s="303">
        <f t="shared" si="1"/>
        <v>317128.00000000006</v>
      </c>
      <c r="K20" s="7"/>
    </row>
    <row r="21" spans="2:13">
      <c r="B21" s="6"/>
      <c r="C21" s="39"/>
      <c r="D21" s="39" t="s">
        <v>135</v>
      </c>
      <c r="E21" s="293">
        <f>'2'!E18</f>
        <v>0</v>
      </c>
      <c r="F21" s="293">
        <f>'2'!F18</f>
        <v>140</v>
      </c>
      <c r="G21" s="293">
        <f>'2'!G18</f>
        <v>280</v>
      </c>
      <c r="H21" s="293">
        <v>4179</v>
      </c>
      <c r="I21" s="689">
        <f>+'2'!Q18</f>
        <v>59.2</v>
      </c>
      <c r="J21" s="302">
        <f t="shared" si="1"/>
        <v>337663.2</v>
      </c>
      <c r="K21" s="7"/>
    </row>
    <row r="22" spans="2:13">
      <c r="B22" s="6"/>
      <c r="C22" s="226"/>
      <c r="D22" s="226" t="s">
        <v>136</v>
      </c>
      <c r="E22" s="294">
        <f>'2'!E19</f>
        <v>50</v>
      </c>
      <c r="F22" s="294">
        <f>'2'!F19</f>
        <v>174</v>
      </c>
      <c r="G22" s="294">
        <f>'2'!G19</f>
        <v>298</v>
      </c>
      <c r="H22" s="294">
        <v>2016</v>
      </c>
      <c r="I22" s="690">
        <f>+'2'!Q19</f>
        <v>211.66666666666666</v>
      </c>
      <c r="J22" s="303">
        <f t="shared" si="1"/>
        <v>-75935.999999999985</v>
      </c>
      <c r="K22" s="7"/>
    </row>
    <row r="23" spans="2:13">
      <c r="B23" s="6"/>
      <c r="C23" s="282"/>
      <c r="D23" s="282" t="s">
        <v>137</v>
      </c>
      <c r="E23" s="296">
        <f>'2'!E20</f>
        <v>11</v>
      </c>
      <c r="F23" s="296">
        <f>'2'!F20</f>
        <v>93</v>
      </c>
      <c r="G23" s="296">
        <f>'2'!G20</f>
        <v>175</v>
      </c>
      <c r="H23" s="296">
        <v>3049</v>
      </c>
      <c r="I23" s="691">
        <f>+'2'!Q20</f>
        <v>11.166666666666666</v>
      </c>
      <c r="J23" s="304">
        <f t="shared" si="1"/>
        <v>249509.83333333331</v>
      </c>
      <c r="K23" s="7"/>
    </row>
    <row r="24" spans="2:13" ht="28.5" customHeight="1">
      <c r="B24" s="6"/>
      <c r="C24" s="289" t="s">
        <v>140</v>
      </c>
      <c r="D24" s="290"/>
      <c r="E24" s="300"/>
      <c r="F24" s="300"/>
      <c r="G24" s="300"/>
      <c r="H24" s="299" t="s">
        <v>707</v>
      </c>
      <c r="I24" s="692"/>
      <c r="J24" s="295"/>
      <c r="K24" s="7"/>
    </row>
    <row r="25" spans="2:13">
      <c r="B25" s="6"/>
      <c r="C25" s="226"/>
      <c r="D25" s="226" t="s">
        <v>141</v>
      </c>
      <c r="E25" s="298">
        <f>'2'!E22</f>
        <v>0.99750000000000005</v>
      </c>
      <c r="F25" s="298">
        <f>'2'!F22</f>
        <v>0.98750000000000004</v>
      </c>
      <c r="G25" s="298">
        <f>'2'!G22</f>
        <v>0.97750000000000004</v>
      </c>
      <c r="H25" s="292">
        <v>500000</v>
      </c>
      <c r="I25" s="693">
        <f>+'2'!Q22</f>
        <v>0.97489999999999999</v>
      </c>
      <c r="J25" s="301">
        <f>-(F25-MAX(MIN(I25,E25),G25))*H25*100</f>
        <v>-500000.00000000047</v>
      </c>
      <c r="K25" s="7"/>
    </row>
    <row r="26" spans="2:13" ht="28.5" customHeight="1">
      <c r="B26" s="6"/>
      <c r="C26" s="289" t="s">
        <v>142</v>
      </c>
      <c r="D26" s="290"/>
      <c r="E26" s="300"/>
      <c r="F26" s="300"/>
      <c r="G26" s="300"/>
      <c r="H26" s="299" t="s">
        <v>707</v>
      </c>
      <c r="I26" s="692"/>
      <c r="J26" s="295"/>
      <c r="K26" s="7"/>
    </row>
    <row r="27" spans="2:13">
      <c r="B27" s="6"/>
      <c r="C27" s="305"/>
      <c r="D27" s="305" t="s">
        <v>143</v>
      </c>
      <c r="E27" s="298">
        <f>'2'!E24</f>
        <v>0.99199999999999999</v>
      </c>
      <c r="F27" s="298">
        <f>'2'!F24</f>
        <v>0.99</v>
      </c>
      <c r="G27" s="298">
        <f>'2'!G24</f>
        <v>0.98799999999999999</v>
      </c>
      <c r="H27" s="292">
        <v>5000000</v>
      </c>
      <c r="I27" s="693">
        <f>+'2'!Q24</f>
        <v>0.97309999999999997</v>
      </c>
      <c r="J27" s="301">
        <f>-(F27-MAX(MIN(I27,E27),G27))*H27*100</f>
        <v>-1000000.0000000009</v>
      </c>
      <c r="K27" s="7"/>
    </row>
    <row r="28" spans="2:13" ht="23.25" customHeight="1">
      <c r="B28" s="6"/>
      <c r="C28" s="235" t="s">
        <v>708</v>
      </c>
      <c r="D28" s="306"/>
      <c r="E28" s="306"/>
      <c r="F28" s="237"/>
      <c r="G28" s="237"/>
      <c r="H28" s="237"/>
      <c r="I28" s="237"/>
      <c r="J28" s="307">
        <f>+SUM(J11:J27)</f>
        <v>2230986.8025641013</v>
      </c>
      <c r="K28" s="7"/>
      <c r="M28" s="549"/>
    </row>
    <row r="29" spans="2:13">
      <c r="B29" s="6"/>
      <c r="C29" s="22"/>
      <c r="D29" s="22"/>
      <c r="E29" s="297"/>
      <c r="F29" s="297"/>
      <c r="G29" s="297"/>
      <c r="H29" s="297"/>
      <c r="I29" s="297"/>
      <c r="J29" s="297"/>
      <c r="K29" s="7"/>
    </row>
    <row r="30" spans="2:13" ht="82.5" customHeight="1">
      <c r="B30" s="6"/>
      <c r="C30" s="760" t="s">
        <v>709</v>
      </c>
      <c r="D30" s="761"/>
      <c r="E30" s="761"/>
      <c r="F30" s="761"/>
      <c r="G30" s="761"/>
      <c r="H30" s="761"/>
      <c r="I30" s="761"/>
      <c r="J30" s="761"/>
      <c r="K30" s="7"/>
    </row>
    <row r="31" spans="2:13">
      <c r="B31" s="6"/>
      <c r="C31" s="465" t="s">
        <v>710</v>
      </c>
      <c r="D31" s="22"/>
      <c r="E31" s="297"/>
      <c r="F31" s="297"/>
      <c r="G31" s="297"/>
      <c r="H31" s="297"/>
      <c r="I31" s="297"/>
      <c r="J31" s="297"/>
      <c r="K31" s="7"/>
    </row>
    <row r="32" spans="2:13">
      <c r="B32" s="6"/>
      <c r="C32" s="465"/>
      <c r="D32" s="22"/>
      <c r="E32" s="297"/>
      <c r="F32" s="297"/>
      <c r="G32" s="297"/>
      <c r="H32" s="297"/>
      <c r="I32" s="297"/>
      <c r="J32" s="297"/>
      <c r="K32" s="7"/>
    </row>
    <row r="33" spans="2:11">
      <c r="B33" s="6"/>
      <c r="C33" s="22"/>
      <c r="D33" s="22"/>
      <c r="E33" s="297"/>
      <c r="F33" s="297"/>
      <c r="G33" s="297"/>
      <c r="H33" s="297"/>
      <c r="I33" s="297"/>
      <c r="J33" s="297"/>
      <c r="K33" s="7"/>
    </row>
    <row r="34" spans="2:11">
      <c r="B34" s="9"/>
      <c r="C34" s="386"/>
      <c r="D34" s="386"/>
      <c r="E34" s="387"/>
      <c r="F34" s="387"/>
      <c r="G34" s="387"/>
      <c r="H34" s="387"/>
      <c r="I34" s="387"/>
      <c r="J34" s="387"/>
      <c r="K34" s="23"/>
    </row>
  </sheetData>
  <mergeCells count="4">
    <mergeCell ref="C8:D8"/>
    <mergeCell ref="B2:K2"/>
    <mergeCell ref="B3:K3"/>
    <mergeCell ref="C30:J30"/>
  </mergeCells>
  <hyperlinks>
    <hyperlink ref="B2:K2" location="Contents!A1" display="Calculation of grid output adjustment" xr:uid="{2F1EA9D2-C05B-4469-B39E-0F5A893C0F0E}"/>
    <hyperlink ref="C31" r:id="rId1" xr:uid="{7CB24172-5794-4C9C-A423-12AE3E44AB83}"/>
  </hyperlinks>
  <pageMargins left="0.70866141732283472" right="0.70866141732283472" top="0.74803149606299213" bottom="0.74803149606299213" header="0.31496062992125984" footer="0.31496062992125984"/>
  <pageSetup paperSize="9" scale="76" orientation="landscape" r:id="rId2"/>
  <headerFooter>
    <oddFooter>&amp;L&amp;F&amp;C&amp;D&amp;RSheet: &amp;A</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DBB86-E56A-4E14-80ED-F4FA44415228}">
  <sheetPr codeName="Sheet22">
    <tabColor theme="4" tint="-0.249977111117893"/>
    <pageSetUpPr fitToPage="1"/>
  </sheetPr>
  <dimension ref="B2:T37"/>
  <sheetViews>
    <sheetView view="pageBreakPreview" zoomScale="85" zoomScaleNormal="100" zoomScaleSheetLayoutView="85" workbookViewId="0"/>
  </sheetViews>
  <sheetFormatPr defaultColWidth="9.140625" defaultRowHeight="15"/>
  <cols>
    <col min="1" max="2" width="9.140625" style="2"/>
    <col min="3" max="3" width="23.5703125" style="2" customWidth="1"/>
    <col min="4" max="4" width="58.42578125" style="2" customWidth="1"/>
    <col min="5" max="5" width="37.7109375" style="2" customWidth="1"/>
    <col min="6" max="8" width="9.140625" style="2"/>
    <col min="9" max="9" width="9.140625" style="2" bestFit="1" customWidth="1"/>
    <col min="10" max="12" width="9.85546875" style="2" bestFit="1" customWidth="1"/>
    <col min="13" max="13" width="11.5703125" style="2" bestFit="1" customWidth="1"/>
    <col min="14" max="14" width="9.85546875" style="2" customWidth="1"/>
    <col min="15" max="15" width="9.140625" style="2"/>
    <col min="16" max="16" width="10.42578125" style="2" bestFit="1" customWidth="1"/>
    <col min="17" max="20" width="12.140625" style="2" customWidth="1"/>
    <col min="21" max="16384" width="9.140625" style="2"/>
  </cols>
  <sheetData>
    <row r="2" spans="2:20" ht="18.75">
      <c r="B2" s="742" t="s">
        <v>711</v>
      </c>
      <c r="C2" s="799"/>
      <c r="D2" s="799"/>
      <c r="E2" s="799"/>
      <c r="F2" s="799"/>
      <c r="G2" s="799"/>
      <c r="H2" s="799"/>
      <c r="I2" s="799"/>
      <c r="J2" s="799"/>
      <c r="K2" s="799"/>
      <c r="L2" s="799"/>
      <c r="M2" s="799"/>
      <c r="N2" s="5"/>
    </row>
    <row r="3" spans="2:20">
      <c r="B3" s="6" t="s">
        <v>58</v>
      </c>
      <c r="N3" s="7"/>
    </row>
    <row r="4" spans="2:20">
      <c r="B4" s="6"/>
      <c r="N4" s="7"/>
    </row>
    <row r="5" spans="2:20">
      <c r="B5" s="6"/>
      <c r="N5" s="7"/>
    </row>
    <row r="6" spans="2:20">
      <c r="B6" s="6"/>
      <c r="F6" s="792" t="s">
        <v>511</v>
      </c>
      <c r="G6" s="793"/>
      <c r="H6" s="793"/>
      <c r="I6" s="793"/>
      <c r="J6" s="793"/>
      <c r="K6" s="793"/>
      <c r="L6" s="793"/>
      <c r="M6" s="794"/>
      <c r="N6" s="7"/>
    </row>
    <row r="7" spans="2:20">
      <c r="B7" s="6"/>
      <c r="D7" s="339" t="s">
        <v>512</v>
      </c>
      <c r="E7" s="350" t="s">
        <v>513</v>
      </c>
      <c r="F7" s="75">
        <v>2018</v>
      </c>
      <c r="G7" s="4">
        <v>2019</v>
      </c>
      <c r="H7" s="4">
        <v>2020</v>
      </c>
      <c r="I7" s="4">
        <v>2021</v>
      </c>
      <c r="J7" s="4">
        <v>2022</v>
      </c>
      <c r="K7" s="4">
        <v>2023</v>
      </c>
      <c r="L7" s="4">
        <v>2024</v>
      </c>
      <c r="M7" s="5">
        <v>2025</v>
      </c>
      <c r="N7" s="7"/>
    </row>
    <row r="8" spans="2:20">
      <c r="B8" s="6"/>
      <c r="C8" s="795" t="s">
        <v>514</v>
      </c>
      <c r="D8" s="75" t="s">
        <v>515</v>
      </c>
      <c r="E8" s="348" t="s">
        <v>516</v>
      </c>
      <c r="F8" s="322"/>
      <c r="G8" s="551">
        <v>1.6748768472906406E-2</v>
      </c>
      <c r="H8" s="551">
        <v>1.6000000000000014E-2</v>
      </c>
      <c r="I8" s="551">
        <v>1.8999999999999906E-2</v>
      </c>
      <c r="J8" s="551">
        <v>2.0999999999999908E-2</v>
      </c>
      <c r="K8" s="551">
        <v>2.0000000000000018E-2</v>
      </c>
      <c r="L8" s="551">
        <v>2.0000000000000018E-2</v>
      </c>
      <c r="M8" s="552">
        <v>2.0000000000000018E-2</v>
      </c>
      <c r="N8" s="7"/>
    </row>
    <row r="9" spans="2:20">
      <c r="B9" s="212" t="s">
        <v>384</v>
      </c>
      <c r="C9" s="796"/>
      <c r="D9" s="15" t="s">
        <v>517</v>
      </c>
      <c r="E9" s="351" t="s">
        <v>518</v>
      </c>
      <c r="F9" s="323">
        <v>1</v>
      </c>
      <c r="G9" s="320">
        <f t="shared" ref="G9:M9" si="0">+F9*(1+G8)</f>
        <v>1.0167487684729064</v>
      </c>
      <c r="H9" s="320">
        <f t="shared" si="0"/>
        <v>1.0330167487684729</v>
      </c>
      <c r="I9" s="320">
        <f t="shared" si="0"/>
        <v>1.0526440669950738</v>
      </c>
      <c r="J9" s="320">
        <f t="shared" si="0"/>
        <v>1.0747495924019703</v>
      </c>
      <c r="K9" s="320">
        <f t="shared" si="0"/>
        <v>1.0962445842500097</v>
      </c>
      <c r="L9" s="320">
        <f t="shared" si="0"/>
        <v>1.1181694759350098</v>
      </c>
      <c r="M9" s="321">
        <f t="shared" si="0"/>
        <v>1.1405328654537101</v>
      </c>
      <c r="N9" s="7"/>
      <c r="P9" s="136" t="s">
        <v>712</v>
      </c>
    </row>
    <row r="10" spans="2:20">
      <c r="B10" s="6"/>
      <c r="C10" s="795" t="s">
        <v>519</v>
      </c>
      <c r="D10" s="75" t="s">
        <v>515</v>
      </c>
      <c r="E10" s="348" t="s">
        <v>520</v>
      </c>
      <c r="F10" s="322"/>
      <c r="G10" s="373">
        <v>1.7339608620262625E-2</v>
      </c>
      <c r="H10" s="373">
        <v>1.8261504747991264E-2</v>
      </c>
      <c r="I10" s="373">
        <v>1.9368723098995622E-2</v>
      </c>
      <c r="J10" s="373">
        <v>6.2866525920713068E-2</v>
      </c>
      <c r="K10" s="373">
        <v>6.7755462370337582E-2</v>
      </c>
      <c r="L10" s="373">
        <v>4.4026457213724779E-2</v>
      </c>
      <c r="M10" s="683">
        <v>2.395565234607E-2</v>
      </c>
      <c r="N10" s="7"/>
      <c r="P10" s="136" t="s">
        <v>522</v>
      </c>
    </row>
    <row r="11" spans="2:20">
      <c r="B11" s="212" t="s">
        <v>188</v>
      </c>
      <c r="C11" s="796"/>
      <c r="D11" s="15" t="s">
        <v>517</v>
      </c>
      <c r="E11" s="351" t="s">
        <v>518</v>
      </c>
      <c r="F11" s="323">
        <v>1</v>
      </c>
      <c r="G11" s="320">
        <f>+F11*(1+G10)</f>
        <v>1.0173396086202626</v>
      </c>
      <c r="H11" s="320">
        <f>+G11*(1+H10)</f>
        <v>1.0359177607134011</v>
      </c>
      <c r="I11" s="320">
        <f t="shared" ref="I11" si="1">+H11*(1+I10)</f>
        <v>1.0559821649739907</v>
      </c>
      <c r="J11" s="320">
        <f>+I11*(1+J10)</f>
        <v>1.1223680951201387</v>
      </c>
      <c r="K11" s="320">
        <f>+J11*(1+K10)</f>
        <v>1.1984146643547187</v>
      </c>
      <c r="L11" s="320">
        <f t="shared" ref="L11" si="2">+IF(L10=0,,K11*(1+L10))</f>
        <v>1.2511766162992319</v>
      </c>
      <c r="M11" s="321">
        <f>+IF(M10=0,,L11*(1+M10))</f>
        <v>1.2811493683428286</v>
      </c>
      <c r="N11" s="7"/>
      <c r="P11" s="136" t="s">
        <v>713</v>
      </c>
    </row>
    <row r="12" spans="2:20">
      <c r="B12" s="6"/>
      <c r="N12" s="7"/>
      <c r="P12" s="136" t="s">
        <v>714</v>
      </c>
    </row>
    <row r="13" spans="2:20">
      <c r="B13" s="6"/>
      <c r="D13" s="136" t="s">
        <v>167</v>
      </c>
      <c r="E13" s="136"/>
      <c r="F13" s="136"/>
      <c r="G13" s="136"/>
      <c r="H13" s="136"/>
      <c r="I13" s="772" t="s">
        <v>379</v>
      </c>
      <c r="J13" s="770"/>
      <c r="K13" s="770"/>
      <c r="L13" s="770"/>
      <c r="M13" s="771"/>
      <c r="N13" s="7"/>
    </row>
    <row r="14" spans="2:20">
      <c r="B14" s="6"/>
      <c r="D14" s="777" t="s">
        <v>376</v>
      </c>
      <c r="E14" s="790" t="s">
        <v>11</v>
      </c>
      <c r="F14" s="326"/>
      <c r="G14" s="326"/>
      <c r="H14" s="326"/>
      <c r="I14" s="769" t="s">
        <v>402</v>
      </c>
      <c r="J14" s="770"/>
      <c r="K14" s="770"/>
      <c r="L14" s="770"/>
      <c r="M14" s="771"/>
      <c r="N14" s="7"/>
    </row>
    <row r="15" spans="2:20">
      <c r="B15" s="6"/>
      <c r="D15" s="755"/>
      <c r="E15" s="791"/>
      <c r="F15" s="327"/>
      <c r="G15" s="327"/>
      <c r="H15" s="327"/>
      <c r="I15" s="151">
        <v>2021</v>
      </c>
      <c r="J15" s="247">
        <v>2022</v>
      </c>
      <c r="K15" s="247">
        <v>2023</v>
      </c>
      <c r="L15" s="247">
        <v>2024</v>
      </c>
      <c r="M15" s="318">
        <v>2025</v>
      </c>
      <c r="N15" s="7"/>
      <c r="O15" s="621" t="s">
        <v>715</v>
      </c>
      <c r="P15" s="2">
        <v>2021</v>
      </c>
      <c r="Q15" s="2">
        <v>2022</v>
      </c>
      <c r="R15" s="2">
        <v>2023</v>
      </c>
      <c r="S15" s="2">
        <v>2024</v>
      </c>
      <c r="T15" s="2">
        <v>2025</v>
      </c>
    </row>
    <row r="16" spans="2:20" ht="30" customHeight="1">
      <c r="B16" s="354" t="s">
        <v>417</v>
      </c>
      <c r="C16" s="401" t="s">
        <v>524</v>
      </c>
      <c r="D16" s="329" t="s">
        <v>716</v>
      </c>
      <c r="E16" s="349" t="s">
        <v>717</v>
      </c>
      <c r="F16" s="331"/>
      <c r="G16" s="331"/>
      <c r="H16" s="331"/>
      <c r="I16" s="553">
        <f>213.930638+P16+P17+P20</f>
        <v>213.93063799999999</v>
      </c>
      <c r="J16" s="554">
        <f>255.95487+Q16+Q17+Q20</f>
        <v>257.97826099999997</v>
      </c>
      <c r="K16" s="554">
        <f>248.978824+R16+R17+R20</f>
        <v>268.77839353757724</v>
      </c>
      <c r="L16" s="554">
        <f>255.518152+S16+S17+S20</f>
        <v>273.25296972687931</v>
      </c>
      <c r="M16" s="555">
        <f>277.65457+T16+T17+T20</f>
        <v>281.21004650285852</v>
      </c>
      <c r="N16" s="7"/>
      <c r="O16" s="621" t="s">
        <v>527</v>
      </c>
      <c r="Q16" s="546">
        <v>2.0233910000000002</v>
      </c>
      <c r="R16" s="546">
        <v>2.0870000000000002</v>
      </c>
    </row>
    <row r="17" spans="2:20" ht="26.45" customHeight="1">
      <c r="B17" s="354" t="s">
        <v>718</v>
      </c>
      <c r="C17" s="401" t="s">
        <v>534</v>
      </c>
      <c r="D17" s="226" t="s">
        <v>716</v>
      </c>
      <c r="E17" s="352" t="s">
        <v>518</v>
      </c>
      <c r="F17" s="328"/>
      <c r="G17" s="328"/>
      <c r="H17" s="328"/>
      <c r="I17" s="252">
        <f>(I16-P16)/I9+P16</f>
        <v>203.23169503125231</v>
      </c>
      <c r="J17" s="253">
        <f t="shared" ref="J17:L17" si="3">(J16-Q16)/J9+Q16</f>
        <v>240.17641921186791</v>
      </c>
      <c r="K17" s="253">
        <f t="shared" si="3"/>
        <v>245.36427349278796</v>
      </c>
      <c r="L17" s="253">
        <f t="shared" si="3"/>
        <v>244.3752719133976</v>
      </c>
      <c r="M17" s="319">
        <f>(M16-T16)/M9+T16</f>
        <v>246.56023076633713</v>
      </c>
      <c r="N17" s="7"/>
      <c r="O17" s="621" t="s">
        <v>530</v>
      </c>
      <c r="P17" s="546"/>
      <c r="Q17" s="546"/>
      <c r="R17" s="546"/>
      <c r="S17" s="546">
        <v>1.7189700695552819</v>
      </c>
      <c r="T17" s="546">
        <v>1.6869767043379256</v>
      </c>
    </row>
    <row r="18" spans="2:20" ht="26.45" customHeight="1">
      <c r="B18" s="354" t="s">
        <v>719</v>
      </c>
      <c r="C18" s="532" t="s">
        <v>720</v>
      </c>
      <c r="D18" s="235" t="s">
        <v>716</v>
      </c>
      <c r="E18" s="533" t="s">
        <v>721</v>
      </c>
      <c r="F18" s="534"/>
      <c r="G18" s="534"/>
      <c r="H18" s="534"/>
      <c r="I18" s="344">
        <f>(I17-P16)*I$11+P16</f>
        <v>214.60904531043565</v>
      </c>
      <c r="J18" s="345">
        <f t="shared" ref="J18:L18" si="4">(J17-Q16)*J$11+Q16</f>
        <v>269.31875162124686</v>
      </c>
      <c r="K18" s="345">
        <f t="shared" si="4"/>
        <v>293.63405205799057</v>
      </c>
      <c r="L18" s="345">
        <f t="shared" si="4"/>
        <v>305.75662581980953</v>
      </c>
      <c r="M18" s="346">
        <f>(M17-T16)*M$11+T16</f>
        <v>315.88048390475484</v>
      </c>
      <c r="N18" s="7"/>
      <c r="R18" s="546"/>
    </row>
    <row r="19" spans="2:20" ht="26.45" customHeight="1">
      <c r="B19" s="6"/>
      <c r="C19" s="342"/>
      <c r="D19" s="22"/>
      <c r="E19" s="22"/>
      <c r="F19" s="22"/>
      <c r="G19" s="22"/>
      <c r="H19" s="22"/>
      <c r="I19" s="22"/>
      <c r="J19" s="22"/>
      <c r="K19" s="22"/>
      <c r="L19" s="22"/>
      <c r="M19" s="249"/>
      <c r="N19" s="7"/>
      <c r="O19" s="621" t="s">
        <v>722</v>
      </c>
      <c r="P19" s="2">
        <v>2021</v>
      </c>
      <c r="Q19" s="2">
        <v>2022</v>
      </c>
      <c r="R19" s="2">
        <v>2023</v>
      </c>
      <c r="S19" s="2">
        <v>2024</v>
      </c>
      <c r="T19" s="2">
        <v>2025</v>
      </c>
    </row>
    <row r="20" spans="2:20">
      <c r="B20" s="6"/>
      <c r="D20" s="136" t="s">
        <v>167</v>
      </c>
      <c r="E20" s="136"/>
      <c r="F20" s="136"/>
      <c r="G20" s="136"/>
      <c r="H20" s="136"/>
      <c r="I20" s="772" t="s">
        <v>347</v>
      </c>
      <c r="J20" s="770"/>
      <c r="K20" s="770"/>
      <c r="L20" s="770"/>
      <c r="M20" s="771"/>
      <c r="N20" s="7"/>
      <c r="O20" s="621" t="s">
        <v>530</v>
      </c>
      <c r="P20" s="546">
        <v>0</v>
      </c>
      <c r="Q20" s="546">
        <v>0</v>
      </c>
      <c r="R20" s="546">
        <v>17.712569537577263</v>
      </c>
      <c r="S20" s="546">
        <v>16.015847657324066</v>
      </c>
      <c r="T20" s="546">
        <v>1.8684997985205831</v>
      </c>
    </row>
    <row r="21" spans="2:20">
      <c r="B21" s="6"/>
      <c r="D21" s="777" t="s">
        <v>376</v>
      </c>
      <c r="E21" s="790" t="s">
        <v>11</v>
      </c>
      <c r="F21" s="326"/>
      <c r="G21" s="326"/>
      <c r="H21" s="326"/>
      <c r="I21" s="769" t="s">
        <v>402</v>
      </c>
      <c r="J21" s="770"/>
      <c r="K21" s="770"/>
      <c r="L21" s="770"/>
      <c r="M21" s="771"/>
      <c r="N21" s="7"/>
      <c r="O21" s="621"/>
    </row>
    <row r="22" spans="2:20">
      <c r="B22" s="6"/>
      <c r="D22" s="755"/>
      <c r="E22" s="791"/>
      <c r="F22" s="327"/>
      <c r="G22" s="327"/>
      <c r="H22" s="327"/>
      <c r="I22" s="151">
        <v>2021</v>
      </c>
      <c r="J22" s="247">
        <v>2022</v>
      </c>
      <c r="K22" s="247">
        <v>2023</v>
      </c>
      <c r="L22" s="247">
        <v>2024</v>
      </c>
      <c r="M22" s="318">
        <v>2025</v>
      </c>
      <c r="N22" s="7"/>
      <c r="R22" s="546"/>
      <c r="S22" s="546"/>
      <c r="T22" s="546"/>
    </row>
    <row r="23" spans="2:20" ht="30" customHeight="1">
      <c r="B23" s="354" t="s">
        <v>233</v>
      </c>
      <c r="C23" s="401" t="s">
        <v>524</v>
      </c>
      <c r="D23" s="329" t="s">
        <v>716</v>
      </c>
      <c r="E23" s="349" t="s">
        <v>717</v>
      </c>
      <c r="F23" s="331"/>
      <c r="G23" s="331"/>
      <c r="H23" s="331"/>
      <c r="I23" s="553">
        <v>8.9470139999999994</v>
      </c>
      <c r="J23" s="554">
        <v>21.304608000000002</v>
      </c>
      <c r="K23" s="554">
        <v>24.882180000000002</v>
      </c>
      <c r="L23" s="554">
        <v>24.509972000000001</v>
      </c>
      <c r="M23" s="555">
        <v>22.566925999999999</v>
      </c>
      <c r="N23" s="7"/>
    </row>
    <row r="24" spans="2:20" ht="26.45" customHeight="1">
      <c r="B24" s="354" t="s">
        <v>723</v>
      </c>
      <c r="C24" s="401" t="s">
        <v>534</v>
      </c>
      <c r="D24" s="226" t="s">
        <v>716</v>
      </c>
      <c r="E24" s="352" t="s">
        <v>518</v>
      </c>
      <c r="F24" s="328"/>
      <c r="G24" s="328"/>
      <c r="H24" s="328"/>
      <c r="I24" s="252">
        <f>+I23/I9</f>
        <v>8.4995624642055478</v>
      </c>
      <c r="J24" s="253">
        <f t="shared" ref="J24:M24" si="5">+J23/J9</f>
        <v>19.822857482910123</v>
      </c>
      <c r="K24" s="253">
        <f t="shared" si="5"/>
        <v>22.69765375125937</v>
      </c>
      <c r="L24" s="253">
        <f t="shared" si="5"/>
        <v>21.919729099656237</v>
      </c>
      <c r="M24" s="319">
        <f t="shared" si="5"/>
        <v>19.78630049474528</v>
      </c>
      <c r="N24" s="7"/>
    </row>
    <row r="25" spans="2:20" ht="26.45" customHeight="1">
      <c r="B25" s="354" t="s">
        <v>724</v>
      </c>
      <c r="C25" s="532" t="s">
        <v>538</v>
      </c>
      <c r="D25" s="235" t="s">
        <v>716</v>
      </c>
      <c r="E25" s="533" t="s">
        <v>721</v>
      </c>
      <c r="F25" s="534"/>
      <c r="G25" s="534"/>
      <c r="H25" s="534"/>
      <c r="I25" s="344">
        <f>+I24*I$11</f>
        <v>8.9753863722834417</v>
      </c>
      <c r="J25" s="345">
        <f t="shared" ref="J25:M25" si="6">+J24*J$11</f>
        <v>22.248542792931822</v>
      </c>
      <c r="K25" s="345">
        <f t="shared" si="6"/>
        <v>27.201201101955117</v>
      </c>
      <c r="L25" s="345">
        <f t="shared" si="6"/>
        <v>27.425452485103701</v>
      </c>
      <c r="M25" s="346">
        <f t="shared" si="6"/>
        <v>25.349206380684311</v>
      </c>
      <c r="N25" s="7"/>
      <c r="Q25" s="609"/>
    </row>
    <row r="26" spans="2:20" ht="26.45" customHeight="1">
      <c r="B26" s="6"/>
      <c r="C26" s="342"/>
      <c r="D26" s="22"/>
      <c r="E26" s="22"/>
      <c r="F26" s="22"/>
      <c r="G26" s="22"/>
      <c r="H26" s="22"/>
      <c r="I26" s="22"/>
      <c r="J26" s="22"/>
      <c r="K26" s="22"/>
      <c r="L26" s="22"/>
      <c r="M26" s="249"/>
      <c r="N26" s="7"/>
    </row>
    <row r="27" spans="2:20">
      <c r="B27" s="6"/>
      <c r="D27" s="136" t="s">
        <v>167</v>
      </c>
      <c r="E27" s="136"/>
      <c r="F27" s="136"/>
      <c r="G27" s="136"/>
      <c r="H27" s="136"/>
      <c r="I27" s="772" t="s">
        <v>348</v>
      </c>
      <c r="J27" s="770"/>
      <c r="K27" s="770"/>
      <c r="L27" s="770"/>
      <c r="M27" s="771"/>
      <c r="N27" s="7"/>
    </row>
    <row r="28" spans="2:20">
      <c r="B28" s="6"/>
      <c r="D28" s="777" t="s">
        <v>376</v>
      </c>
      <c r="E28" s="790" t="s">
        <v>11</v>
      </c>
      <c r="F28" s="326"/>
      <c r="G28" s="326"/>
      <c r="H28" s="326"/>
      <c r="I28" s="769" t="s">
        <v>402</v>
      </c>
      <c r="J28" s="770"/>
      <c r="K28" s="770"/>
      <c r="L28" s="770"/>
      <c r="M28" s="771"/>
      <c r="N28" s="7"/>
    </row>
    <row r="29" spans="2:20">
      <c r="B29" s="6"/>
      <c r="D29" s="755"/>
      <c r="E29" s="791"/>
      <c r="F29" s="327"/>
      <c r="G29" s="327"/>
      <c r="H29" s="327"/>
      <c r="I29" s="151">
        <v>2021</v>
      </c>
      <c r="J29" s="247">
        <v>2022</v>
      </c>
      <c r="K29" s="247">
        <v>2023</v>
      </c>
      <c r="L29" s="247">
        <v>2024</v>
      </c>
      <c r="M29" s="318">
        <v>2025</v>
      </c>
      <c r="N29" s="7"/>
    </row>
    <row r="30" spans="2:20" ht="26.45" customHeight="1">
      <c r="B30" s="354" t="s">
        <v>725</v>
      </c>
      <c r="C30" s="401" t="s">
        <v>524</v>
      </c>
      <c r="D30" s="329" t="s">
        <v>716</v>
      </c>
      <c r="E30" s="330" t="s">
        <v>726</v>
      </c>
      <c r="F30" s="331"/>
      <c r="G30" s="331"/>
      <c r="H30" s="331"/>
      <c r="I30" s="332">
        <f>+I23+I16</f>
        <v>222.87765199999998</v>
      </c>
      <c r="J30" s="333">
        <f>+J23+J16</f>
        <v>279.28286900000001</v>
      </c>
      <c r="K30" s="333">
        <f t="shared" ref="K30:L30" si="7">+K23+K16</f>
        <v>293.66057353757725</v>
      </c>
      <c r="L30" s="333">
        <f t="shared" si="7"/>
        <v>297.76294172687932</v>
      </c>
      <c r="M30" s="334">
        <f>+M23+M16</f>
        <v>303.77697250285854</v>
      </c>
      <c r="N30" s="7"/>
    </row>
    <row r="31" spans="2:20" ht="26.45" customHeight="1">
      <c r="B31" s="354" t="s">
        <v>727</v>
      </c>
      <c r="C31" s="401" t="s">
        <v>534</v>
      </c>
      <c r="D31" s="226" t="s">
        <v>716</v>
      </c>
      <c r="E31" s="352" t="s">
        <v>518</v>
      </c>
      <c r="F31" s="328"/>
      <c r="G31" s="328"/>
      <c r="H31" s="328"/>
      <c r="I31" s="252">
        <f>+I24+I17</f>
        <v>211.73125749545787</v>
      </c>
      <c r="J31" s="253">
        <f>+J24+J17</f>
        <v>259.99927669477802</v>
      </c>
      <c r="K31" s="253">
        <f t="shared" ref="J31:M32" si="8">+K24+K17</f>
        <v>268.06192724404735</v>
      </c>
      <c r="L31" s="253">
        <f>+L24+L17</f>
        <v>266.29500101305382</v>
      </c>
      <c r="M31" s="319">
        <f t="shared" si="8"/>
        <v>266.34653126108242</v>
      </c>
      <c r="N31" s="7"/>
    </row>
    <row r="32" spans="2:20" ht="26.45" customHeight="1">
      <c r="B32" s="354" t="s">
        <v>728</v>
      </c>
      <c r="C32" s="341" t="s">
        <v>538</v>
      </c>
      <c r="D32" s="282" t="s">
        <v>716</v>
      </c>
      <c r="E32" s="353" t="s">
        <v>721</v>
      </c>
      <c r="F32" s="335"/>
      <c r="G32" s="335"/>
      <c r="H32" s="335"/>
      <c r="I32" s="336">
        <f>+I25+I18</f>
        <v>223.5844316827191</v>
      </c>
      <c r="J32" s="337">
        <f t="shared" si="8"/>
        <v>291.56729441417866</v>
      </c>
      <c r="K32" s="337">
        <f>+K25+K18</f>
        <v>320.83525315994569</v>
      </c>
      <c r="L32" s="337">
        <f>+L25+L18</f>
        <v>333.1820783049132</v>
      </c>
      <c r="M32" s="338">
        <f>+M25+M18</f>
        <v>341.22969028543918</v>
      </c>
      <c r="N32" s="7"/>
    </row>
    <row r="33" spans="2:18" ht="15.75" customHeight="1">
      <c r="B33" s="6"/>
      <c r="C33" s="342"/>
      <c r="D33" s="22"/>
      <c r="E33" s="22"/>
      <c r="F33" s="22"/>
      <c r="G33" s="22"/>
      <c r="H33" s="22"/>
      <c r="I33" s="22"/>
      <c r="J33" s="22"/>
      <c r="K33" s="22"/>
      <c r="L33" s="22"/>
      <c r="M33" s="249"/>
      <c r="N33" s="7"/>
      <c r="R33" s="622"/>
    </row>
    <row r="34" spans="2:18" ht="31.5" customHeight="1">
      <c r="B34" s="6"/>
      <c r="C34" s="787" t="s">
        <v>729</v>
      </c>
      <c r="D34" s="788"/>
      <c r="E34" s="788"/>
      <c r="F34" s="788"/>
      <c r="G34" s="788"/>
      <c r="H34" s="788"/>
      <c r="I34" s="788"/>
      <c r="J34" s="788"/>
      <c r="K34" s="788"/>
      <c r="L34" s="788"/>
      <c r="M34" s="788"/>
      <c r="N34" s="7"/>
    </row>
    <row r="35" spans="2:18" ht="66.599999999999994" customHeight="1">
      <c r="B35" s="6"/>
      <c r="C35" s="787" t="s">
        <v>730</v>
      </c>
      <c r="D35" s="787"/>
      <c r="E35" s="787"/>
      <c r="F35" s="787"/>
      <c r="G35" s="787"/>
      <c r="H35" s="787"/>
      <c r="I35" s="787"/>
      <c r="J35" s="787"/>
      <c r="K35" s="787"/>
      <c r="L35" s="787"/>
      <c r="M35" s="787"/>
      <c r="N35" s="7"/>
    </row>
    <row r="36" spans="2:18" ht="36" customHeight="1">
      <c r="B36" s="6"/>
      <c r="C36" s="787" t="s">
        <v>731</v>
      </c>
      <c r="D36" s="787"/>
      <c r="E36" s="787"/>
      <c r="F36" s="787"/>
      <c r="G36" s="787"/>
      <c r="H36" s="787"/>
      <c r="I36" s="787"/>
      <c r="J36" s="787"/>
      <c r="K36" s="787"/>
      <c r="L36" s="787"/>
      <c r="M36" s="787"/>
      <c r="N36" s="7"/>
    </row>
    <row r="37" spans="2:18">
      <c r="B37" s="9"/>
      <c r="C37" s="389"/>
      <c r="D37" s="10"/>
      <c r="E37" s="10"/>
      <c r="F37" s="10"/>
      <c r="G37" s="10"/>
      <c r="H37" s="10"/>
      <c r="I37" s="10"/>
      <c r="J37" s="10"/>
      <c r="K37" s="10"/>
      <c r="L37" s="10"/>
      <c r="M37" s="10"/>
      <c r="N37" s="23"/>
    </row>
  </sheetData>
  <mergeCells count="19">
    <mergeCell ref="F6:M6"/>
    <mergeCell ref="I13:M13"/>
    <mergeCell ref="D14:D15"/>
    <mergeCell ref="C35:M35"/>
    <mergeCell ref="E14:E15"/>
    <mergeCell ref="I14:M14"/>
    <mergeCell ref="C36:M36"/>
    <mergeCell ref="B2:M2"/>
    <mergeCell ref="C8:C9"/>
    <mergeCell ref="C10:C11"/>
    <mergeCell ref="C34:M34"/>
    <mergeCell ref="I27:M27"/>
    <mergeCell ref="D28:D29"/>
    <mergeCell ref="E28:E29"/>
    <mergeCell ref="I28:M28"/>
    <mergeCell ref="I20:M20"/>
    <mergeCell ref="D21:D22"/>
    <mergeCell ref="E21:E22"/>
    <mergeCell ref="I21:M21"/>
  </mergeCells>
  <hyperlinks>
    <hyperlink ref="B2:M2" location="Contents!A1" display="Standard incentive rate base capex allowance - expenditure basis (excluding capitalised operating leases)" xr:uid="{CF761451-9C00-4163-8272-6BA15C9FB470}"/>
  </hyperlinks>
  <pageMargins left="0.70866141732283472" right="0.70866141732283472" top="0.74803149606299213" bottom="0.74803149606299213" header="0.31496062992125984" footer="0.31496062992125984"/>
  <pageSetup paperSize="9" scale="60" orientation="landscape" r:id="rId1"/>
  <headerFooter>
    <oddFooter>&amp;L&amp;F&amp;C&amp;D&amp;RSheet: &amp;A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B659F-5D90-46E8-A31E-FEFC55F4951B}">
  <sheetPr codeName="Sheet23">
    <tabColor theme="4" tint="-0.249977111117893"/>
    <pageSetUpPr fitToPage="1"/>
  </sheetPr>
  <dimension ref="B2:M87"/>
  <sheetViews>
    <sheetView view="pageBreakPreview" zoomScale="85" zoomScaleNormal="100" zoomScaleSheetLayoutView="85" workbookViewId="0">
      <selection activeCell="L33" sqref="L33"/>
    </sheetView>
  </sheetViews>
  <sheetFormatPr defaultColWidth="9.140625" defaultRowHeight="15"/>
  <cols>
    <col min="1" max="1" width="9.140625" style="2"/>
    <col min="2" max="2" width="13.5703125" style="2" customWidth="1"/>
    <col min="3" max="3" width="37.42578125" style="2" customWidth="1"/>
    <col min="4" max="4" width="18.140625" style="2" customWidth="1"/>
    <col min="5" max="5" width="56.140625" style="2" customWidth="1"/>
    <col min="6" max="6" width="9.140625" style="2" bestFit="1" customWidth="1"/>
    <col min="7" max="7" width="9.42578125" style="2" customWidth="1"/>
    <col min="8" max="8" width="9.28515625" style="2" customWidth="1"/>
    <col min="9" max="9" width="9.140625" style="2" customWidth="1"/>
    <col min="10" max="10" width="8.28515625" style="2" customWidth="1"/>
    <col min="11" max="12" width="9.140625" style="2"/>
    <col min="13" max="13" width="17.85546875" style="2" bestFit="1" customWidth="1"/>
    <col min="14" max="16384" width="9.140625" style="2"/>
  </cols>
  <sheetData>
    <row r="2" spans="2:13" ht="18.75">
      <c r="B2" s="742" t="s">
        <v>732</v>
      </c>
      <c r="C2" s="799"/>
      <c r="D2" s="799"/>
      <c r="E2" s="799"/>
      <c r="F2" s="799"/>
      <c r="G2" s="799"/>
      <c r="H2" s="799"/>
      <c r="I2" s="799"/>
      <c r="J2" s="799"/>
      <c r="K2" s="5"/>
    </row>
    <row r="3" spans="2:13">
      <c r="B3" s="6" t="s">
        <v>60</v>
      </c>
      <c r="K3" s="7"/>
      <c r="M3" s="586"/>
    </row>
    <row r="4" spans="2:13">
      <c r="B4" s="6"/>
      <c r="K4" s="7"/>
    </row>
    <row r="5" spans="2:13">
      <c r="B5" s="6"/>
      <c r="K5" s="7"/>
    </row>
    <row r="6" spans="2:13">
      <c r="B6" s="6"/>
      <c r="F6" s="769" t="s">
        <v>402</v>
      </c>
      <c r="G6" s="770"/>
      <c r="H6" s="770"/>
      <c r="I6" s="770"/>
      <c r="J6" s="771"/>
      <c r="K6" s="7"/>
    </row>
    <row r="7" spans="2:13">
      <c r="B7" s="6"/>
      <c r="D7" s="425" t="s">
        <v>733</v>
      </c>
      <c r="E7" s="412" t="s">
        <v>513</v>
      </c>
      <c r="F7" s="75">
        <v>2021</v>
      </c>
      <c r="G7" s="4">
        <v>2022</v>
      </c>
      <c r="H7" s="4">
        <v>2023</v>
      </c>
      <c r="I7" s="4">
        <v>2024</v>
      </c>
      <c r="J7" s="5">
        <v>2025</v>
      </c>
      <c r="K7" s="7"/>
    </row>
    <row r="8" spans="2:13" ht="14.25" customHeight="1">
      <c r="B8" s="212" t="s">
        <v>185</v>
      </c>
      <c r="C8" s="784" t="s">
        <v>734</v>
      </c>
      <c r="D8" s="330" t="s">
        <v>735</v>
      </c>
      <c r="E8" s="349" t="s">
        <v>736</v>
      </c>
      <c r="F8" s="562">
        <v>0.66</v>
      </c>
      <c r="G8" s="563">
        <v>0.66</v>
      </c>
      <c r="H8" s="563">
        <v>0.66</v>
      </c>
      <c r="I8" s="563">
        <v>0.66</v>
      </c>
      <c r="J8" s="564">
        <v>0.66</v>
      </c>
      <c r="K8" s="7"/>
    </row>
    <row r="9" spans="2:13">
      <c r="B9" s="212" t="s">
        <v>737</v>
      </c>
      <c r="C9" s="801"/>
      <c r="D9" s="426" t="s">
        <v>738</v>
      </c>
      <c r="E9" s="413" t="s">
        <v>739</v>
      </c>
      <c r="F9" s="565">
        <v>0.5</v>
      </c>
      <c r="G9" s="566">
        <v>0.5</v>
      </c>
      <c r="H9" s="566">
        <v>0.5</v>
      </c>
      <c r="I9" s="566">
        <v>0.5</v>
      </c>
      <c r="J9" s="567">
        <v>0.5</v>
      </c>
      <c r="K9" s="7"/>
    </row>
    <row r="10" spans="2:13">
      <c r="B10" s="212" t="s">
        <v>740</v>
      </c>
      <c r="C10" s="801"/>
      <c r="D10" s="427" t="s">
        <v>741</v>
      </c>
      <c r="E10" s="414" t="s">
        <v>742</v>
      </c>
      <c r="F10" s="568">
        <v>0.47</v>
      </c>
      <c r="G10" s="569">
        <v>0.47</v>
      </c>
      <c r="H10" s="569">
        <v>0.47</v>
      </c>
      <c r="I10" s="569">
        <v>0.47</v>
      </c>
      <c r="J10" s="570">
        <v>0.47</v>
      </c>
      <c r="K10" s="7"/>
    </row>
    <row r="11" spans="2:13">
      <c r="B11" s="212" t="s">
        <v>743</v>
      </c>
      <c r="C11" s="801"/>
      <c r="D11" s="426" t="s">
        <v>744</v>
      </c>
      <c r="E11" s="413" t="s">
        <v>745</v>
      </c>
      <c r="F11" s="565">
        <v>0.91</v>
      </c>
      <c r="G11" s="566">
        <v>0.91</v>
      </c>
      <c r="H11" s="566">
        <v>0.91</v>
      </c>
      <c r="I11" s="566">
        <v>0.91</v>
      </c>
      <c r="J11" s="567">
        <v>0.91</v>
      </c>
      <c r="K11" s="7"/>
    </row>
    <row r="12" spans="2:13">
      <c r="B12" s="212" t="s">
        <v>746</v>
      </c>
      <c r="C12" s="801"/>
      <c r="D12" s="427" t="s">
        <v>747</v>
      </c>
      <c r="E12" s="414" t="s">
        <v>748</v>
      </c>
      <c r="F12" s="568">
        <v>73.400000000000006</v>
      </c>
      <c r="G12" s="569">
        <v>73.400000000000006</v>
      </c>
      <c r="H12" s="569">
        <v>73.400000000000006</v>
      </c>
      <c r="I12" s="569">
        <v>73.400000000000006</v>
      </c>
      <c r="J12" s="570">
        <v>73.400000000000006</v>
      </c>
      <c r="K12" s="7"/>
    </row>
    <row r="13" spans="2:13">
      <c r="B13" s="212" t="s">
        <v>749</v>
      </c>
      <c r="C13" s="801"/>
      <c r="D13" s="426" t="s">
        <v>750</v>
      </c>
      <c r="E13" s="413" t="s">
        <v>751</v>
      </c>
      <c r="F13" s="565">
        <v>5.35</v>
      </c>
      <c r="G13" s="566">
        <v>5.35</v>
      </c>
      <c r="H13" s="566">
        <v>5.35</v>
      </c>
      <c r="I13" s="566">
        <v>5.35</v>
      </c>
      <c r="J13" s="567">
        <v>5.35</v>
      </c>
      <c r="K13" s="7"/>
    </row>
    <row r="14" spans="2:13">
      <c r="B14" s="212" t="s">
        <v>752</v>
      </c>
      <c r="C14" s="796"/>
      <c r="D14" s="428" t="s">
        <v>753</v>
      </c>
      <c r="E14" s="415" t="s">
        <v>754</v>
      </c>
      <c r="F14" s="571">
        <v>0.85</v>
      </c>
      <c r="G14" s="572">
        <v>0.85</v>
      </c>
      <c r="H14" s="572">
        <v>0.85</v>
      </c>
      <c r="I14" s="572">
        <v>0.85</v>
      </c>
      <c r="J14" s="573">
        <v>0.85</v>
      </c>
      <c r="K14" s="7"/>
    </row>
    <row r="15" spans="2:13">
      <c r="B15" s="212" t="s">
        <v>755</v>
      </c>
      <c r="C15" s="784" t="s">
        <v>756</v>
      </c>
      <c r="D15" s="330" t="s">
        <v>735</v>
      </c>
      <c r="E15" s="348" t="s">
        <v>757</v>
      </c>
      <c r="F15" s="416">
        <v>0.67213038662642666</v>
      </c>
      <c r="G15" s="601">
        <v>0.67776654639096234</v>
      </c>
      <c r="H15" s="601">
        <v>0.64813248556577929</v>
      </c>
      <c r="I15" s="601">
        <v>0.61549174373231985</v>
      </c>
      <c r="J15" s="685">
        <v>0.61489197669869822</v>
      </c>
      <c r="K15" s="7"/>
    </row>
    <row r="16" spans="2:13">
      <c r="B16" s="212" t="s">
        <v>758</v>
      </c>
      <c r="C16" s="801"/>
      <c r="D16" s="426" t="s">
        <v>738</v>
      </c>
      <c r="E16" s="413" t="s">
        <v>759</v>
      </c>
      <c r="F16" s="417">
        <v>0.59319180869471633</v>
      </c>
      <c r="G16" s="602">
        <v>0.59892087311101738</v>
      </c>
      <c r="H16" s="602">
        <v>0.5848339533654624</v>
      </c>
      <c r="I16" s="653">
        <v>0.57630943670707158</v>
      </c>
      <c r="J16" s="686">
        <v>0.5450431794729238</v>
      </c>
      <c r="K16" s="7"/>
    </row>
    <row r="17" spans="2:13">
      <c r="B17" s="212" t="s">
        <v>760</v>
      </c>
      <c r="C17" s="801"/>
      <c r="D17" s="427" t="s">
        <v>741</v>
      </c>
      <c r="E17" s="414" t="s">
        <v>761</v>
      </c>
      <c r="F17" s="418">
        <v>0.49213182092698976</v>
      </c>
      <c r="G17" s="603">
        <v>0.50608085173608763</v>
      </c>
      <c r="H17" s="603">
        <v>0.5082691051499395</v>
      </c>
      <c r="I17" s="654">
        <v>0.47700355319551496</v>
      </c>
      <c r="J17" s="684">
        <v>0.45232108179434366</v>
      </c>
      <c r="K17" s="7"/>
    </row>
    <row r="18" spans="2:13">
      <c r="B18" s="212" t="s">
        <v>762</v>
      </c>
      <c r="C18" s="801"/>
      <c r="D18" s="426" t="s">
        <v>744</v>
      </c>
      <c r="E18" s="413" t="s">
        <v>763</v>
      </c>
      <c r="F18" s="417">
        <v>0.92476418022379092</v>
      </c>
      <c r="G18" s="602">
        <v>0.92727216122141609</v>
      </c>
      <c r="H18" s="602">
        <v>0.90732136869798208</v>
      </c>
      <c r="I18" s="653">
        <v>0.92382027149106616</v>
      </c>
      <c r="J18" s="686">
        <v>0.91103985986915803</v>
      </c>
      <c r="K18" s="7"/>
    </row>
    <row r="19" spans="2:13">
      <c r="B19" s="212" t="s">
        <v>764</v>
      </c>
      <c r="C19" s="801"/>
      <c r="D19" s="427" t="s">
        <v>747</v>
      </c>
      <c r="E19" s="414" t="s">
        <v>765</v>
      </c>
      <c r="F19" s="418">
        <v>73.400000000000006</v>
      </c>
      <c r="G19" s="603">
        <v>73.400000000000006</v>
      </c>
      <c r="H19" s="603">
        <v>73.400000000000006</v>
      </c>
      <c r="I19" s="603">
        <v>73.400000000000006</v>
      </c>
      <c r="J19" s="684">
        <f>J12</f>
        <v>73.400000000000006</v>
      </c>
      <c r="K19" s="7"/>
    </row>
    <row r="20" spans="2:13">
      <c r="B20" s="212" t="s">
        <v>766</v>
      </c>
      <c r="C20" s="801"/>
      <c r="D20" s="426" t="s">
        <v>750</v>
      </c>
      <c r="E20" s="413" t="s">
        <v>767</v>
      </c>
      <c r="F20" s="417">
        <v>5.9082014337217261</v>
      </c>
      <c r="G20" s="602">
        <v>6.0579975832056547</v>
      </c>
      <c r="H20" s="602">
        <v>6.1740463300386139</v>
      </c>
      <c r="I20" s="653">
        <v>6.1015897767533787</v>
      </c>
      <c r="J20" s="686">
        <v>6.1624322949101336</v>
      </c>
      <c r="K20" s="7"/>
    </row>
    <row r="21" spans="2:13">
      <c r="B21" s="212" t="s">
        <v>768</v>
      </c>
      <c r="C21" s="796"/>
      <c r="D21" s="428" t="s">
        <v>753</v>
      </c>
      <c r="E21" s="415" t="s">
        <v>769</v>
      </c>
      <c r="F21" s="419">
        <v>0.86459982477443542</v>
      </c>
      <c r="G21" s="604">
        <v>0.85</v>
      </c>
      <c r="H21" s="604">
        <v>0.85</v>
      </c>
      <c r="I21" s="604">
        <v>0.85</v>
      </c>
      <c r="J21" s="687">
        <v>0.82588130572478702</v>
      </c>
      <c r="K21" s="7"/>
    </row>
    <row r="22" spans="2:13">
      <c r="B22" s="6"/>
      <c r="K22" s="7"/>
    </row>
    <row r="23" spans="2:13">
      <c r="B23" s="6"/>
      <c r="D23" s="136" t="s">
        <v>770</v>
      </c>
      <c r="E23" s="136"/>
      <c r="F23" s="772" t="s">
        <v>379</v>
      </c>
      <c r="G23" s="770"/>
      <c r="H23" s="770"/>
      <c r="I23" s="770"/>
      <c r="J23" s="771"/>
      <c r="K23" s="7"/>
    </row>
    <row r="24" spans="2:13">
      <c r="B24" s="6"/>
      <c r="D24" s="790" t="s">
        <v>771</v>
      </c>
      <c r="E24" s="790" t="s">
        <v>11</v>
      </c>
      <c r="F24" s="769" t="s">
        <v>402</v>
      </c>
      <c r="G24" s="770"/>
      <c r="H24" s="770"/>
      <c r="I24" s="770"/>
      <c r="J24" s="771"/>
      <c r="K24" s="7"/>
      <c r="M24" s="624" t="s">
        <v>69</v>
      </c>
    </row>
    <row r="25" spans="2:13">
      <c r="B25" s="6"/>
      <c r="D25" s="791"/>
      <c r="E25" s="791"/>
      <c r="F25" s="151">
        <v>2021</v>
      </c>
      <c r="G25" s="247">
        <v>2022</v>
      </c>
      <c r="H25" s="247">
        <v>2023</v>
      </c>
      <c r="I25" s="247">
        <v>2024</v>
      </c>
      <c r="J25" s="318">
        <v>2025</v>
      </c>
      <c r="K25" s="7"/>
      <c r="M25" s="2" t="s">
        <v>772</v>
      </c>
    </row>
    <row r="26" spans="2:13">
      <c r="B26" s="212" t="s">
        <v>191</v>
      </c>
      <c r="C26" s="784" t="s">
        <v>773</v>
      </c>
      <c r="D26" s="429" t="s">
        <v>774</v>
      </c>
      <c r="E26" s="349" t="s">
        <v>775</v>
      </c>
      <c r="F26" s="553">
        <v>16.100000000000001</v>
      </c>
      <c r="G26" s="554">
        <v>14.7</v>
      </c>
      <c r="H26" s="554">
        <v>9</v>
      </c>
      <c r="I26" s="554">
        <v>7</v>
      </c>
      <c r="J26" s="555">
        <v>6.1</v>
      </c>
      <c r="K26" s="7"/>
    </row>
    <row r="27" spans="2:13">
      <c r="B27" s="212" t="s">
        <v>194</v>
      </c>
      <c r="C27" s="785"/>
      <c r="D27" s="430" t="s">
        <v>776</v>
      </c>
      <c r="E27" s="352" t="s">
        <v>775</v>
      </c>
      <c r="F27" s="559">
        <v>3.9</v>
      </c>
      <c r="G27" s="560">
        <v>3.4</v>
      </c>
      <c r="H27" s="560">
        <v>3.9</v>
      </c>
      <c r="I27" s="560">
        <v>3.4</v>
      </c>
      <c r="J27" s="561">
        <v>3</v>
      </c>
      <c r="K27" s="7"/>
    </row>
    <row r="28" spans="2:13">
      <c r="B28" s="212" t="s">
        <v>197</v>
      </c>
      <c r="C28" s="785"/>
      <c r="D28" s="431" t="s">
        <v>777</v>
      </c>
      <c r="E28" s="356" t="s">
        <v>775</v>
      </c>
      <c r="F28" s="574">
        <v>0</v>
      </c>
      <c r="G28" s="575">
        <v>0</v>
      </c>
      <c r="H28" s="575">
        <v>0</v>
      </c>
      <c r="I28" s="575">
        <v>0</v>
      </c>
      <c r="J28" s="576">
        <v>0</v>
      </c>
      <c r="K28" s="7"/>
    </row>
    <row r="29" spans="2:13">
      <c r="B29" s="212" t="s">
        <v>200</v>
      </c>
      <c r="C29" s="785"/>
      <c r="D29" s="430" t="s">
        <v>778</v>
      </c>
      <c r="E29" s="352" t="s">
        <v>775</v>
      </c>
      <c r="F29" s="559">
        <v>0.7</v>
      </c>
      <c r="G29" s="560">
        <v>0.2</v>
      </c>
      <c r="H29" s="560">
        <v>0.2</v>
      </c>
      <c r="I29" s="560">
        <v>0.3</v>
      </c>
      <c r="J29" s="561">
        <v>0.1</v>
      </c>
      <c r="K29" s="7"/>
      <c r="M29" s="340"/>
    </row>
    <row r="30" spans="2:13">
      <c r="B30" s="212" t="s">
        <v>203</v>
      </c>
      <c r="C30" s="785"/>
      <c r="D30" s="431" t="s">
        <v>779</v>
      </c>
      <c r="E30" s="356" t="s">
        <v>775</v>
      </c>
      <c r="F30" s="574">
        <v>0</v>
      </c>
      <c r="G30" s="575">
        <v>0</v>
      </c>
      <c r="H30" s="575">
        <v>0.1</v>
      </c>
      <c r="I30" s="575">
        <v>0</v>
      </c>
      <c r="J30" s="576">
        <v>0</v>
      </c>
      <c r="K30" s="7"/>
      <c r="M30" s="340"/>
    </row>
    <row r="31" spans="2:13">
      <c r="B31" s="212" t="s">
        <v>206</v>
      </c>
      <c r="C31" s="785"/>
      <c r="D31" s="430" t="s">
        <v>780</v>
      </c>
      <c r="E31" s="352" t="s">
        <v>775</v>
      </c>
      <c r="F31" s="559">
        <v>0.7</v>
      </c>
      <c r="G31" s="560">
        <v>0.7</v>
      </c>
      <c r="H31" s="560">
        <v>0.8</v>
      </c>
      <c r="I31" s="560">
        <v>0.9</v>
      </c>
      <c r="J31" s="561">
        <v>1.2</v>
      </c>
      <c r="K31" s="7"/>
      <c r="M31" s="340"/>
    </row>
    <row r="32" spans="2:13">
      <c r="B32" s="212" t="s">
        <v>209</v>
      </c>
      <c r="C32" s="786"/>
      <c r="D32" s="432" t="s">
        <v>781</v>
      </c>
      <c r="E32" s="420" t="s">
        <v>775</v>
      </c>
      <c r="F32" s="556">
        <v>0</v>
      </c>
      <c r="G32" s="557">
        <v>0</v>
      </c>
      <c r="H32" s="557">
        <v>0</v>
      </c>
      <c r="I32" s="557">
        <v>0</v>
      </c>
      <c r="J32" s="558">
        <v>0</v>
      </c>
      <c r="K32" s="7"/>
      <c r="M32" s="340"/>
    </row>
    <row r="33" spans="2:13">
      <c r="B33" s="212" t="s">
        <v>782</v>
      </c>
      <c r="C33" s="400" t="s">
        <v>348</v>
      </c>
      <c r="D33" s="433"/>
      <c r="E33" s="434"/>
      <c r="F33" s="309">
        <f>SUM(F26:F32)</f>
        <v>21.4</v>
      </c>
      <c r="G33" s="435">
        <f t="shared" ref="G33:J33" si="0">SUM(G26:G32)</f>
        <v>18.999999999999996</v>
      </c>
      <c r="H33" s="435">
        <f t="shared" si="0"/>
        <v>14</v>
      </c>
      <c r="I33" s="435">
        <f t="shared" si="0"/>
        <v>11.600000000000001</v>
      </c>
      <c r="J33" s="436">
        <f t="shared" si="0"/>
        <v>10.399999999999999</v>
      </c>
      <c r="K33" s="7"/>
      <c r="M33" s="340"/>
    </row>
    <row r="34" spans="2:13">
      <c r="B34" s="212" t="s">
        <v>783</v>
      </c>
      <c r="C34" s="784" t="s">
        <v>784</v>
      </c>
      <c r="D34" s="429" t="s">
        <v>774</v>
      </c>
      <c r="E34" s="421"/>
      <c r="F34" s="332">
        <f t="shared" ref="F34:F40" si="1">IFERROR(F26*F8/F15,)</f>
        <v>15.809432531884596</v>
      </c>
      <c r="G34" s="333">
        <f>IFERROR(G26*G8/G15,)</f>
        <v>14.31466343634421</v>
      </c>
      <c r="H34" s="333">
        <f>IFERROR(H26*H8/H15,)</f>
        <v>9.1647928969564774</v>
      </c>
      <c r="I34" s="333">
        <f t="shared" ref="I34:J34" si="2">IFERROR(I26*I8/I15,)</f>
        <v>7.5061932951114594</v>
      </c>
      <c r="J34" s="334">
        <f t="shared" si="2"/>
        <v>6.5474915148759063</v>
      </c>
      <c r="K34" s="7"/>
    </row>
    <row r="35" spans="2:13">
      <c r="B35" s="212" t="s">
        <v>785</v>
      </c>
      <c r="C35" s="785"/>
      <c r="D35" s="430" t="s">
        <v>776</v>
      </c>
      <c r="E35" s="422"/>
      <c r="F35" s="252">
        <f t="shared" si="1"/>
        <v>3.2873009563143838</v>
      </c>
      <c r="G35" s="253">
        <f>IFERROR(G27*G9/G16,)</f>
        <v>2.838438391985854</v>
      </c>
      <c r="H35" s="253">
        <f>IFERROR(H27*H9/H16,)</f>
        <v>3.3342797366305543</v>
      </c>
      <c r="I35" s="253">
        <f t="shared" ref="G35:J40" si="3">IFERROR(I27*I9/I16,)</f>
        <v>2.9498042053822577</v>
      </c>
      <c r="J35" s="319">
        <f t="shared" si="3"/>
        <v>2.7520755354659303</v>
      </c>
      <c r="K35" s="7"/>
    </row>
    <row r="36" spans="2:13">
      <c r="B36" s="212" t="s">
        <v>786</v>
      </c>
      <c r="C36" s="785"/>
      <c r="D36" s="431" t="s">
        <v>777</v>
      </c>
      <c r="E36" s="423"/>
      <c r="F36" s="248">
        <f t="shared" si="1"/>
        <v>0</v>
      </c>
      <c r="G36" s="249">
        <f t="shared" si="3"/>
        <v>0</v>
      </c>
      <c r="H36" s="249">
        <f>IFERROR(H28*H10/H17,)</f>
        <v>0</v>
      </c>
      <c r="I36" s="249">
        <f t="shared" si="3"/>
        <v>0</v>
      </c>
      <c r="J36" s="388">
        <f t="shared" si="3"/>
        <v>0</v>
      </c>
      <c r="K36" s="7"/>
    </row>
    <row r="37" spans="2:13">
      <c r="B37" s="212" t="s">
        <v>787</v>
      </c>
      <c r="C37" s="785"/>
      <c r="D37" s="430" t="s">
        <v>778</v>
      </c>
      <c r="E37" s="422"/>
      <c r="F37" s="252">
        <f t="shared" si="1"/>
        <v>0.68882425771059541</v>
      </c>
      <c r="G37" s="253">
        <f t="shared" si="3"/>
        <v>0.19627462961927708</v>
      </c>
      <c r="H37" s="253">
        <f>IFERROR(H29*H11/H18,)</f>
        <v>0.20059044819055941</v>
      </c>
      <c r="I37" s="253">
        <f t="shared" si="3"/>
        <v>0.29551202590453229</v>
      </c>
      <c r="J37" s="319">
        <f t="shared" si="3"/>
        <v>9.9885860112716995E-2</v>
      </c>
      <c r="K37" s="7"/>
    </row>
    <row r="38" spans="2:13">
      <c r="B38" s="212" t="s">
        <v>788</v>
      </c>
      <c r="C38" s="785"/>
      <c r="D38" s="431" t="s">
        <v>779</v>
      </c>
      <c r="E38" s="423"/>
      <c r="F38" s="248">
        <f t="shared" si="1"/>
        <v>0</v>
      </c>
      <c r="G38" s="249">
        <f t="shared" si="3"/>
        <v>0</v>
      </c>
      <c r="H38" s="249">
        <f>IFERROR(H30*H12/H19,)</f>
        <v>0.1</v>
      </c>
      <c r="I38" s="249">
        <f t="shared" si="3"/>
        <v>0</v>
      </c>
      <c r="J38" s="388">
        <f t="shared" si="3"/>
        <v>0</v>
      </c>
      <c r="K38" s="7"/>
    </row>
    <row r="39" spans="2:13">
      <c r="B39" s="212" t="s">
        <v>789</v>
      </c>
      <c r="C39" s="785"/>
      <c r="D39" s="430" t="s">
        <v>780</v>
      </c>
      <c r="E39" s="422"/>
      <c r="F39" s="252">
        <f t="shared" si="1"/>
        <v>0.63386464425958633</v>
      </c>
      <c r="G39" s="253">
        <f t="shared" si="3"/>
        <v>0.61819106867624274</v>
      </c>
      <c r="H39" s="253">
        <f>IFERROR(H31*H13/H20,)</f>
        <v>0.69322447082661143</v>
      </c>
      <c r="I39" s="253">
        <f t="shared" si="3"/>
        <v>0.78913859767249606</v>
      </c>
      <c r="J39" s="319">
        <f t="shared" si="3"/>
        <v>1.0417964356870264</v>
      </c>
      <c r="K39" s="7"/>
    </row>
    <row r="40" spans="2:13">
      <c r="B40" s="212" t="s">
        <v>790</v>
      </c>
      <c r="C40" s="786"/>
      <c r="D40" s="432" t="s">
        <v>781</v>
      </c>
      <c r="E40" s="424"/>
      <c r="F40" s="336">
        <f t="shared" si="1"/>
        <v>0</v>
      </c>
      <c r="G40" s="337">
        <f t="shared" si="3"/>
        <v>0</v>
      </c>
      <c r="H40" s="337">
        <f t="shared" si="3"/>
        <v>0</v>
      </c>
      <c r="I40" s="337">
        <f t="shared" si="3"/>
        <v>0</v>
      </c>
      <c r="J40" s="338">
        <f t="shared" si="3"/>
        <v>0</v>
      </c>
      <c r="K40" s="7"/>
    </row>
    <row r="41" spans="2:13">
      <c r="B41" s="212" t="s">
        <v>791</v>
      </c>
      <c r="C41" s="437" t="s">
        <v>348</v>
      </c>
      <c r="D41" s="438"/>
      <c r="E41" s="439"/>
      <c r="F41" s="309">
        <f>SUM(F34:F40)</f>
        <v>20.41942239016916</v>
      </c>
      <c r="G41" s="440">
        <f t="shared" ref="G41" si="4">SUM(G34:G40)</f>
        <v>17.967567526625587</v>
      </c>
      <c r="H41" s="440">
        <f>SUM(H34:H40)</f>
        <v>13.492887552604204</v>
      </c>
      <c r="I41" s="440">
        <f t="shared" ref="I41" si="5">SUM(I34:I40)</f>
        <v>11.540648124070746</v>
      </c>
      <c r="J41" s="441">
        <f t="shared" ref="J41" si="6">SUM(J34:J40)</f>
        <v>10.44124934614158</v>
      </c>
      <c r="K41" s="7"/>
      <c r="M41" s="340"/>
    </row>
    <row r="42" spans="2:13">
      <c r="B42" s="212"/>
      <c r="C42" s="442" t="s">
        <v>792</v>
      </c>
      <c r="D42" s="443"/>
      <c r="E42" s="444"/>
      <c r="F42" s="445">
        <f>+F41-F33</f>
        <v>-0.98057760983083853</v>
      </c>
      <c r="G42" s="446">
        <f>+G41-G33</f>
        <v>-1.0324324733744099</v>
      </c>
      <c r="H42" s="446">
        <f>+H41-H33</f>
        <v>-0.5071124473957962</v>
      </c>
      <c r="I42" s="446">
        <f>+I41-I33</f>
        <v>-5.9351875929255726E-2</v>
      </c>
      <c r="J42" s="447">
        <f>+J41-J33</f>
        <v>4.1249346141581711E-2</v>
      </c>
      <c r="K42" s="7"/>
      <c r="M42" s="340"/>
    </row>
    <row r="43" spans="2:13">
      <c r="B43" s="6"/>
      <c r="K43" s="7"/>
    </row>
    <row r="44" spans="2:13">
      <c r="B44" s="6"/>
      <c r="D44" s="136" t="s">
        <v>770</v>
      </c>
      <c r="E44" s="136"/>
      <c r="F44" s="772" t="s">
        <v>347</v>
      </c>
      <c r="G44" s="770"/>
      <c r="H44" s="770"/>
      <c r="I44" s="770"/>
      <c r="J44" s="771"/>
      <c r="K44" s="7"/>
    </row>
    <row r="45" spans="2:13">
      <c r="B45" s="6"/>
      <c r="D45" s="790" t="s">
        <v>793</v>
      </c>
      <c r="E45" s="790" t="s">
        <v>11</v>
      </c>
      <c r="F45" s="769" t="s">
        <v>402</v>
      </c>
      <c r="G45" s="770"/>
      <c r="H45" s="770"/>
      <c r="I45" s="770"/>
      <c r="J45" s="771"/>
      <c r="K45" s="7"/>
    </row>
    <row r="46" spans="2:13">
      <c r="B46" s="6"/>
      <c r="D46" s="791"/>
      <c r="E46" s="791"/>
      <c r="F46" s="151">
        <v>2021</v>
      </c>
      <c r="G46" s="247">
        <v>2022</v>
      </c>
      <c r="H46" s="247">
        <v>2023</v>
      </c>
      <c r="I46" s="247">
        <v>2024</v>
      </c>
      <c r="J46" s="318">
        <v>2025</v>
      </c>
      <c r="K46" s="7"/>
    </row>
    <row r="47" spans="2:13">
      <c r="B47" s="212" t="s">
        <v>794</v>
      </c>
      <c r="C47" s="784" t="s">
        <v>773</v>
      </c>
      <c r="D47" s="429" t="s">
        <v>774</v>
      </c>
      <c r="E47" s="349" t="s">
        <v>775</v>
      </c>
      <c r="F47" s="553">
        <v>0</v>
      </c>
      <c r="G47" s="554">
        <v>0</v>
      </c>
      <c r="H47" s="554">
        <v>0</v>
      </c>
      <c r="I47" s="554">
        <v>0</v>
      </c>
      <c r="J47" s="555">
        <v>0</v>
      </c>
      <c r="K47" s="7"/>
    </row>
    <row r="48" spans="2:13">
      <c r="B48" s="212" t="s">
        <v>795</v>
      </c>
      <c r="C48" s="785"/>
      <c r="D48" s="430" t="s">
        <v>776</v>
      </c>
      <c r="E48" s="352" t="s">
        <v>775</v>
      </c>
      <c r="F48" s="559">
        <v>0</v>
      </c>
      <c r="G48" s="560">
        <v>0</v>
      </c>
      <c r="H48" s="560">
        <v>0</v>
      </c>
      <c r="I48" s="560">
        <v>0</v>
      </c>
      <c r="J48" s="561">
        <v>0</v>
      </c>
      <c r="K48" s="7"/>
    </row>
    <row r="49" spans="2:13">
      <c r="B49" s="212" t="s">
        <v>796</v>
      </c>
      <c r="C49" s="785"/>
      <c r="D49" s="431" t="s">
        <v>777</v>
      </c>
      <c r="E49" s="356" t="s">
        <v>775</v>
      </c>
      <c r="F49" s="574">
        <v>0</v>
      </c>
      <c r="G49" s="575">
        <v>0</v>
      </c>
      <c r="H49" s="575">
        <v>0</v>
      </c>
      <c r="I49" s="575">
        <v>0</v>
      </c>
      <c r="J49" s="576">
        <v>0</v>
      </c>
      <c r="K49" s="7"/>
    </row>
    <row r="50" spans="2:13">
      <c r="B50" s="212" t="s">
        <v>797</v>
      </c>
      <c r="C50" s="785"/>
      <c r="D50" s="430" t="s">
        <v>778</v>
      </c>
      <c r="E50" s="352" t="s">
        <v>775</v>
      </c>
      <c r="F50" s="559">
        <v>0</v>
      </c>
      <c r="G50" s="560">
        <v>0</v>
      </c>
      <c r="H50" s="560">
        <v>0</v>
      </c>
      <c r="I50" s="560">
        <v>0</v>
      </c>
      <c r="J50" s="561">
        <v>0</v>
      </c>
      <c r="K50" s="7"/>
    </row>
    <row r="51" spans="2:13">
      <c r="B51" s="212" t="s">
        <v>798</v>
      </c>
      <c r="C51" s="785"/>
      <c r="D51" s="431" t="s">
        <v>779</v>
      </c>
      <c r="E51" s="356" t="s">
        <v>775</v>
      </c>
      <c r="F51" s="574">
        <v>0</v>
      </c>
      <c r="G51" s="575">
        <v>0</v>
      </c>
      <c r="H51" s="575">
        <v>0</v>
      </c>
      <c r="I51" s="575">
        <v>0</v>
      </c>
      <c r="J51" s="576">
        <v>0</v>
      </c>
      <c r="K51" s="7"/>
    </row>
    <row r="52" spans="2:13">
      <c r="B52" s="212" t="s">
        <v>799</v>
      </c>
      <c r="C52" s="785"/>
      <c r="D52" s="430" t="s">
        <v>780</v>
      </c>
      <c r="E52" s="352" t="s">
        <v>775</v>
      </c>
      <c r="F52" s="559">
        <v>0</v>
      </c>
      <c r="G52" s="560">
        <v>0</v>
      </c>
      <c r="H52" s="560">
        <v>0</v>
      </c>
      <c r="I52" s="560">
        <v>0</v>
      </c>
      <c r="J52" s="561">
        <v>0</v>
      </c>
      <c r="K52" s="7"/>
    </row>
    <row r="53" spans="2:13">
      <c r="B53" s="212" t="s">
        <v>800</v>
      </c>
      <c r="C53" s="786"/>
      <c r="D53" s="432" t="s">
        <v>781</v>
      </c>
      <c r="E53" s="420" t="s">
        <v>775</v>
      </c>
      <c r="F53" s="556">
        <v>0</v>
      </c>
      <c r="G53" s="557">
        <v>0</v>
      </c>
      <c r="H53" s="557">
        <v>0</v>
      </c>
      <c r="I53" s="557">
        <v>0</v>
      </c>
      <c r="J53" s="558">
        <v>0</v>
      </c>
      <c r="K53" s="7"/>
    </row>
    <row r="54" spans="2:13">
      <c r="B54" s="212" t="s">
        <v>801</v>
      </c>
      <c r="C54" s="400" t="s">
        <v>348</v>
      </c>
      <c r="D54" s="433"/>
      <c r="E54" s="434"/>
      <c r="F54" s="309">
        <f>SUM(F47:F53)</f>
        <v>0</v>
      </c>
      <c r="G54" s="435">
        <f t="shared" ref="G54" si="7">SUM(G47:G53)</f>
        <v>0</v>
      </c>
      <c r="H54" s="435">
        <f t="shared" ref="H54" si="8">SUM(H47:H53)</f>
        <v>0</v>
      </c>
      <c r="I54" s="435">
        <f t="shared" ref="I54" si="9">SUM(I47:I53)</f>
        <v>0</v>
      </c>
      <c r="J54" s="436">
        <f t="shared" ref="J54" si="10">SUM(J47:J53)</f>
        <v>0</v>
      </c>
      <c r="K54" s="7"/>
      <c r="M54" s="340"/>
    </row>
    <row r="55" spans="2:13">
      <c r="B55" s="212" t="s">
        <v>802</v>
      </c>
      <c r="C55" s="784" t="s">
        <v>784</v>
      </c>
      <c r="D55" s="429" t="s">
        <v>774</v>
      </c>
      <c r="E55" s="421"/>
      <c r="F55" s="332">
        <f t="shared" ref="F55:F61" si="11">IFERROR(F47*F8/F15,)</f>
        <v>0</v>
      </c>
      <c r="G55" s="333">
        <f t="shared" ref="G55:J55" si="12">IFERROR(G47*G8/G15,)</f>
        <v>0</v>
      </c>
      <c r="H55" s="333">
        <f t="shared" si="12"/>
        <v>0</v>
      </c>
      <c r="I55" s="333">
        <f t="shared" si="12"/>
        <v>0</v>
      </c>
      <c r="J55" s="334">
        <f t="shared" si="12"/>
        <v>0</v>
      </c>
      <c r="K55" s="7"/>
    </row>
    <row r="56" spans="2:13">
      <c r="B56" s="212" t="s">
        <v>803</v>
      </c>
      <c r="C56" s="785"/>
      <c r="D56" s="430" t="s">
        <v>776</v>
      </c>
      <c r="E56" s="422"/>
      <c r="F56" s="252">
        <f t="shared" si="11"/>
        <v>0</v>
      </c>
      <c r="G56" s="253">
        <f t="shared" ref="G56:J61" si="13">IFERROR(G48*G9/G16,)</f>
        <v>0</v>
      </c>
      <c r="H56" s="253">
        <f t="shared" si="13"/>
        <v>0</v>
      </c>
      <c r="I56" s="253">
        <f t="shared" si="13"/>
        <v>0</v>
      </c>
      <c r="J56" s="319">
        <f t="shared" si="13"/>
        <v>0</v>
      </c>
      <c r="K56" s="7"/>
    </row>
    <row r="57" spans="2:13">
      <c r="B57" s="212" t="s">
        <v>804</v>
      </c>
      <c r="C57" s="785"/>
      <c r="D57" s="431" t="s">
        <v>777</v>
      </c>
      <c r="E57" s="423"/>
      <c r="F57" s="248">
        <f t="shared" si="11"/>
        <v>0</v>
      </c>
      <c r="G57" s="249">
        <f t="shared" si="13"/>
        <v>0</v>
      </c>
      <c r="H57" s="249">
        <f t="shared" si="13"/>
        <v>0</v>
      </c>
      <c r="I57" s="249">
        <f t="shared" si="13"/>
        <v>0</v>
      </c>
      <c r="J57" s="388">
        <f t="shared" si="13"/>
        <v>0</v>
      </c>
      <c r="K57" s="7"/>
    </row>
    <row r="58" spans="2:13">
      <c r="B58" s="212" t="s">
        <v>805</v>
      </c>
      <c r="C58" s="785"/>
      <c r="D58" s="430" t="s">
        <v>778</v>
      </c>
      <c r="E58" s="422"/>
      <c r="F58" s="252">
        <f t="shared" si="11"/>
        <v>0</v>
      </c>
      <c r="G58" s="253">
        <f t="shared" si="13"/>
        <v>0</v>
      </c>
      <c r="H58" s="253">
        <f t="shared" si="13"/>
        <v>0</v>
      </c>
      <c r="I58" s="253">
        <f t="shared" si="13"/>
        <v>0</v>
      </c>
      <c r="J58" s="319">
        <f t="shared" si="13"/>
        <v>0</v>
      </c>
      <c r="K58" s="7"/>
    </row>
    <row r="59" spans="2:13">
      <c r="B59" s="212" t="s">
        <v>806</v>
      </c>
      <c r="C59" s="785"/>
      <c r="D59" s="431" t="s">
        <v>779</v>
      </c>
      <c r="E59" s="423"/>
      <c r="F59" s="248">
        <f t="shared" si="11"/>
        <v>0</v>
      </c>
      <c r="G59" s="249">
        <f t="shared" si="13"/>
        <v>0</v>
      </c>
      <c r="H59" s="249">
        <f t="shared" si="13"/>
        <v>0</v>
      </c>
      <c r="I59" s="249">
        <f t="shared" si="13"/>
        <v>0</v>
      </c>
      <c r="J59" s="388">
        <f t="shared" si="13"/>
        <v>0</v>
      </c>
      <c r="K59" s="7"/>
    </row>
    <row r="60" spans="2:13">
      <c r="B60" s="212" t="s">
        <v>807</v>
      </c>
      <c r="C60" s="785"/>
      <c r="D60" s="430" t="s">
        <v>780</v>
      </c>
      <c r="E60" s="422"/>
      <c r="F60" s="252">
        <f t="shared" si="11"/>
        <v>0</v>
      </c>
      <c r="G60" s="253">
        <f t="shared" si="13"/>
        <v>0</v>
      </c>
      <c r="H60" s="253">
        <f t="shared" si="13"/>
        <v>0</v>
      </c>
      <c r="I60" s="253">
        <f t="shared" si="13"/>
        <v>0</v>
      </c>
      <c r="J60" s="319">
        <f t="shared" si="13"/>
        <v>0</v>
      </c>
      <c r="K60" s="7"/>
    </row>
    <row r="61" spans="2:13">
      <c r="B61" s="212" t="s">
        <v>808</v>
      </c>
      <c r="C61" s="786"/>
      <c r="D61" s="432" t="s">
        <v>781</v>
      </c>
      <c r="E61" s="424"/>
      <c r="F61" s="336">
        <f t="shared" si="11"/>
        <v>0</v>
      </c>
      <c r="G61" s="337">
        <f t="shared" si="13"/>
        <v>0</v>
      </c>
      <c r="H61" s="337">
        <f t="shared" si="13"/>
        <v>0</v>
      </c>
      <c r="I61" s="337">
        <f t="shared" si="13"/>
        <v>0</v>
      </c>
      <c r="J61" s="338">
        <f t="shared" si="13"/>
        <v>0</v>
      </c>
      <c r="K61" s="7"/>
    </row>
    <row r="62" spans="2:13">
      <c r="B62" s="212" t="s">
        <v>809</v>
      </c>
      <c r="C62" s="437" t="s">
        <v>348</v>
      </c>
      <c r="D62" s="438"/>
      <c r="E62" s="439"/>
      <c r="F62" s="309">
        <f>SUM(F55:F61)</f>
        <v>0</v>
      </c>
      <c r="G62" s="440">
        <f t="shared" ref="G62" si="14">SUM(G55:G61)</f>
        <v>0</v>
      </c>
      <c r="H62" s="440">
        <f t="shared" ref="H62" si="15">SUM(H55:H61)</f>
        <v>0</v>
      </c>
      <c r="I62" s="440">
        <f t="shared" ref="I62" si="16">SUM(I55:I61)</f>
        <v>0</v>
      </c>
      <c r="J62" s="441">
        <f t="shared" ref="J62" si="17">SUM(J55:J61)</f>
        <v>0</v>
      </c>
      <c r="K62" s="7"/>
      <c r="M62" s="340"/>
    </row>
    <row r="63" spans="2:13">
      <c r="B63" s="212"/>
      <c r="C63" s="442" t="s">
        <v>792</v>
      </c>
      <c r="D63" s="443"/>
      <c r="E63" s="444"/>
      <c r="F63" s="445">
        <f>+F62-F54</f>
        <v>0</v>
      </c>
      <c r="G63" s="446">
        <f>+G62-G54</f>
        <v>0</v>
      </c>
      <c r="H63" s="446">
        <f>+H62-H54</f>
        <v>0</v>
      </c>
      <c r="I63" s="446">
        <f>+I62-I54</f>
        <v>0</v>
      </c>
      <c r="J63" s="447">
        <f>+J62-J54</f>
        <v>0</v>
      </c>
      <c r="K63" s="7"/>
      <c r="M63" s="340"/>
    </row>
    <row r="64" spans="2:13">
      <c r="B64" s="6"/>
      <c r="K64" s="7"/>
    </row>
    <row r="65" spans="2:13">
      <c r="B65" s="6"/>
      <c r="D65" s="136" t="s">
        <v>770</v>
      </c>
      <c r="E65" s="136"/>
      <c r="F65" s="772" t="s">
        <v>348</v>
      </c>
      <c r="G65" s="770"/>
      <c r="H65" s="770"/>
      <c r="I65" s="770"/>
      <c r="J65" s="771"/>
      <c r="K65" s="7"/>
    </row>
    <row r="66" spans="2:13">
      <c r="B66" s="6"/>
      <c r="D66" s="790" t="s">
        <v>793</v>
      </c>
      <c r="E66" s="790" t="s">
        <v>11</v>
      </c>
      <c r="F66" s="769" t="s">
        <v>402</v>
      </c>
      <c r="G66" s="770"/>
      <c r="H66" s="770"/>
      <c r="I66" s="770"/>
      <c r="J66" s="771"/>
      <c r="K66" s="7"/>
    </row>
    <row r="67" spans="2:13">
      <c r="B67" s="6"/>
      <c r="D67" s="791"/>
      <c r="E67" s="791"/>
      <c r="F67" s="151">
        <v>2021</v>
      </c>
      <c r="G67" s="247">
        <v>2022</v>
      </c>
      <c r="H67" s="247">
        <v>2023</v>
      </c>
      <c r="I67" s="247">
        <v>2024</v>
      </c>
      <c r="J67" s="318">
        <v>2025</v>
      </c>
      <c r="K67" s="7"/>
    </row>
    <row r="68" spans="2:13">
      <c r="B68" s="212" t="s">
        <v>810</v>
      </c>
      <c r="C68" s="784" t="s">
        <v>773</v>
      </c>
      <c r="D68" s="429" t="s">
        <v>774</v>
      </c>
      <c r="E68" s="349" t="s">
        <v>811</v>
      </c>
      <c r="F68" s="332">
        <f t="shared" ref="F68:F74" si="18">+F26+F47</f>
        <v>16.100000000000001</v>
      </c>
      <c r="G68" s="333">
        <f t="shared" ref="G68:J68" si="19">+G26+G47</f>
        <v>14.7</v>
      </c>
      <c r="H68" s="333">
        <f t="shared" si="19"/>
        <v>9</v>
      </c>
      <c r="I68" s="333">
        <f t="shared" si="19"/>
        <v>7</v>
      </c>
      <c r="J68" s="334">
        <f t="shared" si="19"/>
        <v>6.1</v>
      </c>
      <c r="K68" s="7"/>
    </row>
    <row r="69" spans="2:13">
      <c r="B69" s="212" t="s">
        <v>812</v>
      </c>
      <c r="C69" s="785"/>
      <c r="D69" s="430" t="s">
        <v>776</v>
      </c>
      <c r="E69" s="352" t="s">
        <v>811</v>
      </c>
      <c r="F69" s="252">
        <f t="shared" si="18"/>
        <v>3.9</v>
      </c>
      <c r="G69" s="253">
        <f t="shared" ref="G69:J69" si="20">+G27+G48</f>
        <v>3.4</v>
      </c>
      <c r="H69" s="253">
        <f t="shared" si="20"/>
        <v>3.9</v>
      </c>
      <c r="I69" s="253">
        <f t="shared" si="20"/>
        <v>3.4</v>
      </c>
      <c r="J69" s="319">
        <f t="shared" si="20"/>
        <v>3</v>
      </c>
      <c r="K69" s="7"/>
    </row>
    <row r="70" spans="2:13">
      <c r="B70" s="212" t="s">
        <v>813</v>
      </c>
      <c r="C70" s="785"/>
      <c r="D70" s="431" t="s">
        <v>777</v>
      </c>
      <c r="E70" s="356" t="s">
        <v>811</v>
      </c>
      <c r="F70" s="248">
        <f t="shared" si="18"/>
        <v>0</v>
      </c>
      <c r="G70" s="249">
        <f t="shared" ref="G70:J70" si="21">+G28+G49</f>
        <v>0</v>
      </c>
      <c r="H70" s="249">
        <f t="shared" si="21"/>
        <v>0</v>
      </c>
      <c r="I70" s="249">
        <f t="shared" si="21"/>
        <v>0</v>
      </c>
      <c r="J70" s="388">
        <f t="shared" si="21"/>
        <v>0</v>
      </c>
      <c r="K70" s="7"/>
    </row>
    <row r="71" spans="2:13">
      <c r="B71" s="212" t="s">
        <v>814</v>
      </c>
      <c r="C71" s="785"/>
      <c r="D71" s="430" t="s">
        <v>778</v>
      </c>
      <c r="E71" s="352" t="s">
        <v>811</v>
      </c>
      <c r="F71" s="252">
        <f t="shared" si="18"/>
        <v>0.7</v>
      </c>
      <c r="G71" s="253">
        <f t="shared" ref="G71:J71" si="22">+G29+G50</f>
        <v>0.2</v>
      </c>
      <c r="H71" s="253">
        <f t="shared" si="22"/>
        <v>0.2</v>
      </c>
      <c r="I71" s="253">
        <f t="shared" si="22"/>
        <v>0.3</v>
      </c>
      <c r="J71" s="319">
        <f t="shared" si="22"/>
        <v>0.1</v>
      </c>
      <c r="K71" s="7"/>
    </row>
    <row r="72" spans="2:13">
      <c r="B72" s="212" t="s">
        <v>815</v>
      </c>
      <c r="C72" s="785"/>
      <c r="D72" s="431" t="s">
        <v>779</v>
      </c>
      <c r="E72" s="356" t="s">
        <v>811</v>
      </c>
      <c r="F72" s="248">
        <f t="shared" si="18"/>
        <v>0</v>
      </c>
      <c r="G72" s="249">
        <f t="shared" ref="G72:J72" si="23">+G30+G51</f>
        <v>0</v>
      </c>
      <c r="H72" s="249">
        <f t="shared" si="23"/>
        <v>0.1</v>
      </c>
      <c r="I72" s="249">
        <f t="shared" si="23"/>
        <v>0</v>
      </c>
      <c r="J72" s="388">
        <f t="shared" si="23"/>
        <v>0</v>
      </c>
      <c r="K72" s="7"/>
    </row>
    <row r="73" spans="2:13">
      <c r="B73" s="212" t="s">
        <v>816</v>
      </c>
      <c r="C73" s="785"/>
      <c r="D73" s="430" t="s">
        <v>780</v>
      </c>
      <c r="E73" s="352" t="s">
        <v>811</v>
      </c>
      <c r="F73" s="252">
        <f t="shared" si="18"/>
        <v>0.7</v>
      </c>
      <c r="G73" s="253">
        <f t="shared" ref="G73:J73" si="24">+G31+G52</f>
        <v>0.7</v>
      </c>
      <c r="H73" s="253">
        <f t="shared" si="24"/>
        <v>0.8</v>
      </c>
      <c r="I73" s="253">
        <f t="shared" si="24"/>
        <v>0.9</v>
      </c>
      <c r="J73" s="319">
        <f t="shared" si="24"/>
        <v>1.2</v>
      </c>
      <c r="K73" s="7"/>
    </row>
    <row r="74" spans="2:13">
      <c r="B74" s="212" t="s">
        <v>817</v>
      </c>
      <c r="C74" s="786"/>
      <c r="D74" s="432" t="s">
        <v>781</v>
      </c>
      <c r="E74" s="420" t="s">
        <v>811</v>
      </c>
      <c r="F74" s="336">
        <f t="shared" si="18"/>
        <v>0</v>
      </c>
      <c r="G74" s="337">
        <f t="shared" ref="G74:J74" si="25">+G32+G53</f>
        <v>0</v>
      </c>
      <c r="H74" s="337">
        <f t="shared" si="25"/>
        <v>0</v>
      </c>
      <c r="I74" s="337">
        <f t="shared" si="25"/>
        <v>0</v>
      </c>
      <c r="J74" s="338">
        <f t="shared" si="25"/>
        <v>0</v>
      </c>
      <c r="K74" s="7"/>
    </row>
    <row r="75" spans="2:13">
      <c r="B75" s="212" t="s">
        <v>818</v>
      </c>
      <c r="C75" s="400" t="s">
        <v>348</v>
      </c>
      <c r="D75" s="433"/>
      <c r="E75" s="434"/>
      <c r="F75" s="309">
        <f>SUM(F68:F74)</f>
        <v>21.4</v>
      </c>
      <c r="G75" s="435">
        <f t="shared" ref="G75" si="26">SUM(G68:G74)</f>
        <v>18.999999999999996</v>
      </c>
      <c r="H75" s="435">
        <f t="shared" ref="H75" si="27">SUM(H68:H74)</f>
        <v>14</v>
      </c>
      <c r="I75" s="435">
        <f t="shared" ref="I75" si="28">SUM(I68:I74)</f>
        <v>11.600000000000001</v>
      </c>
      <c r="J75" s="436">
        <f t="shared" ref="J75" si="29">SUM(J68:J74)</f>
        <v>10.399999999999999</v>
      </c>
      <c r="K75" s="7"/>
      <c r="M75" s="340"/>
    </row>
    <row r="76" spans="2:13">
      <c r="B76" s="212" t="s">
        <v>819</v>
      </c>
      <c r="C76" s="784" t="s">
        <v>784</v>
      </c>
      <c r="D76" s="429" t="s">
        <v>774</v>
      </c>
      <c r="E76" s="421"/>
      <c r="F76" s="332">
        <f>+F55+F34</f>
        <v>15.809432531884596</v>
      </c>
      <c r="G76" s="333">
        <f t="shared" ref="G76:J76" si="30">+G55+G34</f>
        <v>14.31466343634421</v>
      </c>
      <c r="H76" s="333">
        <f t="shared" si="30"/>
        <v>9.1647928969564774</v>
      </c>
      <c r="I76" s="333">
        <f t="shared" si="30"/>
        <v>7.5061932951114594</v>
      </c>
      <c r="J76" s="334">
        <f t="shared" si="30"/>
        <v>6.5474915148759063</v>
      </c>
      <c r="K76" s="7"/>
    </row>
    <row r="77" spans="2:13">
      <c r="B77" s="212" t="s">
        <v>820</v>
      </c>
      <c r="C77" s="785"/>
      <c r="D77" s="430" t="s">
        <v>776</v>
      </c>
      <c r="E77" s="422"/>
      <c r="F77" s="252">
        <f t="shared" ref="F77:J82" si="31">+F56+F35</f>
        <v>3.2873009563143838</v>
      </c>
      <c r="G77" s="253">
        <f>+G56+G35</f>
        <v>2.838438391985854</v>
      </c>
      <c r="H77" s="253">
        <f t="shared" si="31"/>
        <v>3.3342797366305543</v>
      </c>
      <c r="I77" s="253">
        <f t="shared" si="31"/>
        <v>2.9498042053822577</v>
      </c>
      <c r="J77" s="319">
        <f t="shared" si="31"/>
        <v>2.7520755354659303</v>
      </c>
      <c r="K77" s="7"/>
    </row>
    <row r="78" spans="2:13">
      <c r="B78" s="212" t="s">
        <v>821</v>
      </c>
      <c r="C78" s="785"/>
      <c r="D78" s="431" t="s">
        <v>777</v>
      </c>
      <c r="E78" s="423"/>
      <c r="F78" s="248">
        <f t="shared" si="31"/>
        <v>0</v>
      </c>
      <c r="G78" s="249">
        <f t="shared" si="31"/>
        <v>0</v>
      </c>
      <c r="H78" s="249">
        <f t="shared" si="31"/>
        <v>0</v>
      </c>
      <c r="I78" s="249">
        <f t="shared" si="31"/>
        <v>0</v>
      </c>
      <c r="J78" s="388">
        <f t="shared" si="31"/>
        <v>0</v>
      </c>
      <c r="K78" s="7"/>
    </row>
    <row r="79" spans="2:13">
      <c r="B79" s="212" t="s">
        <v>822</v>
      </c>
      <c r="C79" s="785"/>
      <c r="D79" s="430" t="s">
        <v>778</v>
      </c>
      <c r="E79" s="422"/>
      <c r="F79" s="252">
        <f t="shared" si="31"/>
        <v>0.68882425771059541</v>
      </c>
      <c r="G79" s="253">
        <f t="shared" si="31"/>
        <v>0.19627462961927708</v>
      </c>
      <c r="H79" s="253">
        <f t="shared" si="31"/>
        <v>0.20059044819055941</v>
      </c>
      <c r="I79" s="253">
        <f t="shared" si="31"/>
        <v>0.29551202590453229</v>
      </c>
      <c r="J79" s="319">
        <f t="shared" si="31"/>
        <v>9.9885860112716995E-2</v>
      </c>
      <c r="K79" s="7"/>
    </row>
    <row r="80" spans="2:13">
      <c r="B80" s="212" t="s">
        <v>823</v>
      </c>
      <c r="C80" s="785"/>
      <c r="D80" s="431" t="s">
        <v>779</v>
      </c>
      <c r="E80" s="423"/>
      <c r="F80" s="248">
        <f t="shared" si="31"/>
        <v>0</v>
      </c>
      <c r="G80" s="249">
        <f t="shared" si="31"/>
        <v>0</v>
      </c>
      <c r="H80" s="249">
        <f t="shared" si="31"/>
        <v>0.1</v>
      </c>
      <c r="I80" s="249">
        <f t="shared" si="31"/>
        <v>0</v>
      </c>
      <c r="J80" s="388">
        <f t="shared" si="31"/>
        <v>0</v>
      </c>
      <c r="K80" s="7"/>
    </row>
    <row r="81" spans="2:13">
      <c r="B81" s="212" t="s">
        <v>824</v>
      </c>
      <c r="C81" s="785"/>
      <c r="D81" s="430" t="s">
        <v>780</v>
      </c>
      <c r="E81" s="422"/>
      <c r="F81" s="252">
        <f t="shared" si="31"/>
        <v>0.63386464425958633</v>
      </c>
      <c r="G81" s="253">
        <f t="shared" si="31"/>
        <v>0.61819106867624274</v>
      </c>
      <c r="H81" s="253">
        <f t="shared" si="31"/>
        <v>0.69322447082661143</v>
      </c>
      <c r="I81" s="253">
        <f t="shared" si="31"/>
        <v>0.78913859767249606</v>
      </c>
      <c r="J81" s="319">
        <f t="shared" si="31"/>
        <v>1.0417964356870264</v>
      </c>
      <c r="K81" s="7"/>
    </row>
    <row r="82" spans="2:13">
      <c r="B82" s="212" t="s">
        <v>825</v>
      </c>
      <c r="C82" s="786"/>
      <c r="D82" s="432" t="s">
        <v>781</v>
      </c>
      <c r="E82" s="424"/>
      <c r="F82" s="336">
        <f t="shared" si="31"/>
        <v>0</v>
      </c>
      <c r="G82" s="337">
        <f t="shared" si="31"/>
        <v>0</v>
      </c>
      <c r="H82" s="337">
        <f t="shared" si="31"/>
        <v>0</v>
      </c>
      <c r="I82" s="337">
        <f t="shared" si="31"/>
        <v>0</v>
      </c>
      <c r="J82" s="338">
        <f t="shared" si="31"/>
        <v>0</v>
      </c>
      <c r="K82" s="7"/>
    </row>
    <row r="83" spans="2:13">
      <c r="B83" s="212" t="s">
        <v>826</v>
      </c>
      <c r="C83" s="437" t="s">
        <v>348</v>
      </c>
      <c r="D83" s="438"/>
      <c r="E83" s="439"/>
      <c r="F83" s="309">
        <f>SUM(F76:F82)</f>
        <v>20.41942239016916</v>
      </c>
      <c r="G83" s="440">
        <f t="shared" ref="G83" si="32">SUM(G76:G82)</f>
        <v>17.967567526625587</v>
      </c>
      <c r="H83" s="440">
        <f t="shared" ref="H83" si="33">SUM(H76:H82)</f>
        <v>13.492887552604204</v>
      </c>
      <c r="I83" s="440">
        <f t="shared" ref="I83" si="34">SUM(I76:I82)</f>
        <v>11.540648124070746</v>
      </c>
      <c r="J83" s="441">
        <f t="shared" ref="J83" si="35">SUM(J76:J82)</f>
        <v>10.44124934614158</v>
      </c>
      <c r="K83" s="7"/>
      <c r="M83" s="340"/>
    </row>
    <row r="84" spans="2:13">
      <c r="B84" s="212"/>
      <c r="C84" s="442" t="s">
        <v>792</v>
      </c>
      <c r="D84" s="443"/>
      <c r="E84" s="444"/>
      <c r="F84" s="445">
        <f>+F83-F75</f>
        <v>-0.98057760983083853</v>
      </c>
      <c r="G84" s="446">
        <f>+G83-G75</f>
        <v>-1.0324324733744099</v>
      </c>
      <c r="H84" s="446">
        <f>+H83-H75</f>
        <v>-0.5071124473957962</v>
      </c>
      <c r="I84" s="446">
        <f>+I83-I75</f>
        <v>-5.9351875929255726E-2</v>
      </c>
      <c r="J84" s="447">
        <f>+J83-J75</f>
        <v>4.1249346141581711E-2</v>
      </c>
      <c r="K84" s="7"/>
      <c r="M84" s="340"/>
    </row>
    <row r="85" spans="2:13">
      <c r="B85" s="6"/>
      <c r="K85" s="7"/>
    </row>
    <row r="86" spans="2:13" ht="30" customHeight="1">
      <c r="B86" s="6"/>
      <c r="C86" s="776" t="s">
        <v>827</v>
      </c>
      <c r="D86" s="712"/>
      <c r="E86" s="712"/>
      <c r="F86" s="712"/>
      <c r="G86" s="712"/>
      <c r="H86" s="712"/>
      <c r="I86" s="712"/>
      <c r="J86" s="712"/>
      <c r="K86" s="7"/>
      <c r="L86" s="498"/>
      <c r="M86" s="498"/>
    </row>
    <row r="87" spans="2:13">
      <c r="B87" s="9"/>
      <c r="C87" s="10"/>
      <c r="D87" s="10"/>
      <c r="E87" s="10"/>
      <c r="F87" s="10"/>
      <c r="G87" s="10"/>
      <c r="H87" s="10"/>
      <c r="I87" s="10"/>
      <c r="J87" s="10"/>
      <c r="K87" s="23"/>
    </row>
  </sheetData>
  <mergeCells count="23">
    <mergeCell ref="F44:J44"/>
    <mergeCell ref="D45:D46"/>
    <mergeCell ref="E45:E46"/>
    <mergeCell ref="F45:J45"/>
    <mergeCell ref="B2:J2"/>
    <mergeCell ref="F6:J6"/>
    <mergeCell ref="F23:J23"/>
    <mergeCell ref="D24:D25"/>
    <mergeCell ref="E24:E25"/>
    <mergeCell ref="F24:J24"/>
    <mergeCell ref="C8:C14"/>
    <mergeCell ref="C15:C21"/>
    <mergeCell ref="C26:C32"/>
    <mergeCell ref="C34:C40"/>
    <mergeCell ref="C86:J86"/>
    <mergeCell ref="C47:C53"/>
    <mergeCell ref="C76:C82"/>
    <mergeCell ref="C55:C61"/>
    <mergeCell ref="F65:J65"/>
    <mergeCell ref="D66:D67"/>
    <mergeCell ref="E66:E67"/>
    <mergeCell ref="F66:J66"/>
    <mergeCell ref="C68:C74"/>
  </mergeCells>
  <phoneticPr fontId="1" type="noConversion"/>
  <hyperlinks>
    <hyperlink ref="B2:J2" location="Contents!A1" display="Standard incentive rate base capex allowance - expenditure basis (excluding capitalised operating leases)" xr:uid="{19FFCDB3-0E86-4D81-B6C7-222620FF079A}"/>
    <hyperlink ref="M24" r:id="rId1" display="https://comcom.govt.nz/__data/assets/pdf_file/0034/188782/Transpower-Individual-Price-Quality-Path-Determination-2019-2020-NZCC-19-14-November-2019.PDF" xr:uid="{4AC9CAF1-8A67-4215-8FDF-5528790F435B}"/>
  </hyperlinks>
  <pageMargins left="0.70866141732283472" right="0.70866141732283472" top="0.74803149606299213" bottom="0.74803149606299213" header="0.31496062992125984" footer="0.31496062992125984"/>
  <pageSetup paperSize="8" scale="72" orientation="portrait" r:id="rId2"/>
  <headerFooter>
    <oddFooter>&amp;L&amp;F&amp;C&amp;D&amp;RSheet: &amp;A</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706F-8B65-4F02-BF26-B15FD55853AC}">
  <sheetPr codeName="Sheet24">
    <tabColor rgb="FFFFFF00"/>
    <pageSetUpPr fitToPage="1"/>
  </sheetPr>
  <dimension ref="B2:I28"/>
  <sheetViews>
    <sheetView view="pageBreakPreview" topLeftCell="B1" zoomScaleNormal="100" zoomScaleSheetLayoutView="100" workbookViewId="0">
      <selection activeCell="B1" sqref="B1"/>
    </sheetView>
  </sheetViews>
  <sheetFormatPr defaultColWidth="9.140625" defaultRowHeight="15"/>
  <cols>
    <col min="1" max="2" width="9.140625" style="2"/>
    <col min="3" max="3" width="16.42578125" style="2" customWidth="1"/>
    <col min="4" max="4" width="17.140625" style="2" customWidth="1"/>
    <col min="5" max="5" width="18.7109375" style="2" customWidth="1"/>
    <col min="6" max="6" width="56.5703125" style="2" customWidth="1"/>
    <col min="7" max="7" width="14.85546875" style="2" customWidth="1"/>
    <col min="8" max="8" width="90.28515625" style="2" customWidth="1"/>
    <col min="9" max="10" width="9.140625" style="2"/>
    <col min="11" max="11" width="16.28515625" style="2" bestFit="1" customWidth="1"/>
    <col min="12" max="16384" width="9.140625" style="2"/>
  </cols>
  <sheetData>
    <row r="2" spans="2:9" ht="18.75">
      <c r="B2" s="742" t="s">
        <v>828</v>
      </c>
      <c r="C2" s="799"/>
      <c r="D2" s="799"/>
      <c r="E2" s="799"/>
      <c r="F2" s="799"/>
      <c r="G2" s="799"/>
      <c r="H2" s="799"/>
      <c r="I2" s="800"/>
    </row>
    <row r="3" spans="2:9">
      <c r="B3" s="6" t="s">
        <v>63</v>
      </c>
      <c r="I3" s="7"/>
    </row>
    <row r="4" spans="2:9">
      <c r="B4" s="6"/>
      <c r="I4" s="7"/>
    </row>
    <row r="5" spans="2:9" ht="30">
      <c r="B5" s="6"/>
      <c r="C5" s="804" t="s">
        <v>829</v>
      </c>
      <c r="D5" s="805"/>
      <c r="E5" s="805"/>
      <c r="F5" s="409"/>
      <c r="G5" s="411" t="s">
        <v>10</v>
      </c>
      <c r="H5" s="410" t="s">
        <v>830</v>
      </c>
      <c r="I5" s="7"/>
    </row>
    <row r="6" spans="2:9">
      <c r="B6" s="6"/>
      <c r="C6" s="407" t="s">
        <v>831</v>
      </c>
      <c r="D6" s="4"/>
      <c r="E6" s="4"/>
      <c r="G6" s="68"/>
      <c r="H6" s="7"/>
      <c r="I6" s="7"/>
    </row>
    <row r="7" spans="2:9">
      <c r="B7" s="6"/>
      <c r="C7" s="6"/>
      <c r="D7" s="13" t="s">
        <v>832</v>
      </c>
      <c r="E7" s="13"/>
      <c r="F7" s="13"/>
      <c r="G7" s="69"/>
      <c r="H7" s="14"/>
      <c r="I7" s="7"/>
    </row>
    <row r="8" spans="2:9">
      <c r="B8" s="6"/>
      <c r="C8" s="6"/>
      <c r="D8" s="2" t="s">
        <v>833</v>
      </c>
      <c r="G8" s="68"/>
      <c r="H8" s="7"/>
      <c r="I8" s="7"/>
    </row>
    <row r="9" spans="2:9">
      <c r="B9" s="6"/>
      <c r="C9" s="6"/>
      <c r="E9" s="2" t="s">
        <v>834</v>
      </c>
      <c r="G9" s="68" t="s">
        <v>19</v>
      </c>
      <c r="H9" s="7"/>
      <c r="I9" s="7"/>
    </row>
    <row r="10" spans="2:9">
      <c r="B10" s="6"/>
      <c r="C10" s="6"/>
      <c r="E10" s="13" t="s">
        <v>835</v>
      </c>
      <c r="F10" s="13"/>
      <c r="G10" s="69" t="s">
        <v>19</v>
      </c>
      <c r="H10" s="14"/>
      <c r="I10" s="7"/>
    </row>
    <row r="11" spans="2:9">
      <c r="B11" s="6"/>
      <c r="C11" s="6"/>
      <c r="E11" s="776" t="s">
        <v>836</v>
      </c>
      <c r="F11" s="712"/>
      <c r="G11" s="68" t="s">
        <v>19</v>
      </c>
      <c r="H11" s="7"/>
      <c r="I11" s="7"/>
    </row>
    <row r="12" spans="2:9">
      <c r="B12" s="6"/>
      <c r="C12" s="6"/>
      <c r="E12" s="13" t="s">
        <v>837</v>
      </c>
      <c r="F12" s="13"/>
      <c r="G12" s="69" t="s">
        <v>19</v>
      </c>
      <c r="H12" s="14"/>
      <c r="I12" s="7"/>
    </row>
    <row r="13" spans="2:9">
      <c r="B13" s="6"/>
      <c r="C13" s="6"/>
      <c r="E13" s="776" t="s">
        <v>838</v>
      </c>
      <c r="F13" s="712"/>
      <c r="G13" s="68" t="s">
        <v>19</v>
      </c>
      <c r="H13" s="7"/>
      <c r="I13" s="7"/>
    </row>
    <row r="14" spans="2:9" ht="30.75" customHeight="1">
      <c r="B14" s="6"/>
      <c r="C14" s="6"/>
      <c r="E14" s="724" t="s">
        <v>839</v>
      </c>
      <c r="F14" s="712"/>
      <c r="G14" s="69" t="s">
        <v>19</v>
      </c>
      <c r="H14" s="14"/>
      <c r="I14" s="7"/>
    </row>
    <row r="15" spans="2:9">
      <c r="B15" s="6"/>
      <c r="C15" s="6"/>
      <c r="E15" s="2" t="s">
        <v>840</v>
      </c>
      <c r="G15" s="68" t="s">
        <v>48</v>
      </c>
      <c r="H15" s="7" t="s">
        <v>841</v>
      </c>
      <c r="I15" s="7"/>
    </row>
    <row r="16" spans="2:9">
      <c r="B16" s="6"/>
      <c r="C16" s="6"/>
      <c r="E16" s="13" t="s">
        <v>842</v>
      </c>
      <c r="F16" s="13"/>
      <c r="G16" s="69"/>
      <c r="H16" s="14"/>
      <c r="I16" s="7"/>
    </row>
    <row r="17" spans="2:9" ht="63" customHeight="1">
      <c r="B17" s="6"/>
      <c r="C17" s="6"/>
      <c r="E17" s="13"/>
      <c r="F17" s="706" t="s">
        <v>843</v>
      </c>
      <c r="G17" s="69" t="s">
        <v>844</v>
      </c>
      <c r="H17" s="408" t="s">
        <v>845</v>
      </c>
      <c r="I17" s="7"/>
    </row>
    <row r="18" spans="2:9" ht="45">
      <c r="B18" s="6"/>
      <c r="C18" s="6"/>
      <c r="E18" s="13"/>
      <c r="F18" s="3" t="s">
        <v>846</v>
      </c>
      <c r="G18" s="68" t="s">
        <v>844</v>
      </c>
      <c r="H18" s="7"/>
      <c r="I18" s="7"/>
    </row>
    <row r="19" spans="2:9" ht="108" customHeight="1">
      <c r="B19" s="6"/>
      <c r="C19" s="6"/>
      <c r="E19" s="13"/>
      <c r="F19" s="706" t="s">
        <v>847</v>
      </c>
      <c r="G19" s="69" t="s">
        <v>844</v>
      </c>
      <c r="H19" s="14"/>
      <c r="I19" s="7"/>
    </row>
    <row r="20" spans="2:9">
      <c r="B20" s="6"/>
      <c r="C20" s="6"/>
      <c r="E20" s="2" t="s">
        <v>848</v>
      </c>
      <c r="G20" s="68" t="s">
        <v>19</v>
      </c>
      <c r="H20" s="7" t="s">
        <v>904</v>
      </c>
      <c r="I20" s="7"/>
    </row>
    <row r="21" spans="2:9">
      <c r="B21" s="6"/>
      <c r="C21" s="6"/>
      <c r="E21" s="13" t="s">
        <v>849</v>
      </c>
      <c r="F21" s="13"/>
      <c r="G21" s="69"/>
      <c r="H21" s="14"/>
      <c r="I21" s="7"/>
    </row>
    <row r="22" spans="2:9" ht="48.75" customHeight="1">
      <c r="B22" s="6"/>
      <c r="C22" s="6"/>
      <c r="E22" s="13"/>
      <c r="F22" s="3" t="s">
        <v>850</v>
      </c>
      <c r="G22" s="68" t="s">
        <v>23</v>
      </c>
      <c r="H22" s="8" t="s">
        <v>852</v>
      </c>
      <c r="I22" s="7"/>
    </row>
    <row r="23" spans="2:9" ht="51" customHeight="1">
      <c r="B23" s="6"/>
      <c r="C23" s="6"/>
      <c r="E23" s="13"/>
      <c r="F23" s="706" t="s">
        <v>851</v>
      </c>
      <c r="G23" s="69" t="s">
        <v>23</v>
      </c>
      <c r="H23" s="408" t="s">
        <v>852</v>
      </c>
      <c r="I23" s="7"/>
    </row>
    <row r="24" spans="2:9">
      <c r="B24" s="6"/>
      <c r="C24" s="6"/>
      <c r="E24" s="2" t="s">
        <v>853</v>
      </c>
      <c r="G24" s="68" t="s">
        <v>19</v>
      </c>
      <c r="H24" s="7"/>
      <c r="I24" s="7"/>
    </row>
    <row r="25" spans="2:9" ht="70.5" customHeight="1">
      <c r="B25" s="6"/>
      <c r="C25" s="6"/>
      <c r="E25" s="724" t="s">
        <v>854</v>
      </c>
      <c r="F25" s="724"/>
      <c r="G25" s="69" t="s">
        <v>19</v>
      </c>
      <c r="H25" s="408"/>
      <c r="I25" s="7"/>
    </row>
    <row r="26" spans="2:9" ht="30.75" customHeight="1">
      <c r="B26" s="6"/>
      <c r="C26" s="6"/>
      <c r="E26" s="776" t="s">
        <v>855</v>
      </c>
      <c r="F26" s="712"/>
      <c r="G26" s="68" t="s">
        <v>19</v>
      </c>
      <c r="H26" s="7"/>
      <c r="I26" s="7"/>
    </row>
    <row r="27" spans="2:9" ht="48.75" customHeight="1">
      <c r="B27" s="6"/>
      <c r="C27" s="9"/>
      <c r="D27" s="802" t="s">
        <v>856</v>
      </c>
      <c r="E27" s="802"/>
      <c r="F27" s="803"/>
      <c r="G27" s="90" t="s">
        <v>46</v>
      </c>
      <c r="H27" s="17"/>
      <c r="I27" s="7"/>
    </row>
    <row r="28" spans="2:9">
      <c r="B28" s="9"/>
      <c r="C28" s="10"/>
      <c r="D28" s="10"/>
      <c r="E28" s="10"/>
      <c r="F28" s="10"/>
      <c r="G28" s="10"/>
      <c r="H28" s="10"/>
      <c r="I28" s="23"/>
    </row>
  </sheetData>
  <mergeCells count="8">
    <mergeCell ref="E26:F26"/>
    <mergeCell ref="D27:F27"/>
    <mergeCell ref="B2:I2"/>
    <mergeCell ref="C5:E5"/>
    <mergeCell ref="E11:F11"/>
    <mergeCell ref="E13:F13"/>
    <mergeCell ref="E14:F14"/>
    <mergeCell ref="E25:F25"/>
  </mergeCells>
  <phoneticPr fontId="1" type="noConversion"/>
  <hyperlinks>
    <hyperlink ref="B2:I2" location="Contents!A1" display="Standard incentive rate base capex allowance - expenditure basis (excluding capitalised operating leases)" xr:uid="{AE1892A5-4566-400F-9E9C-9CDC8D39054D}"/>
  </hyperlinks>
  <pageMargins left="0.70866141732283472" right="0.70866141732283472" top="0.74803149606299213" bottom="0.74803149606299213" header="0.31496062992125984" footer="0.31496062992125984"/>
  <pageSetup paperSize="9" scale="56" orientation="landscape" r:id="rId1"/>
  <headerFooter>
    <oddFooter>&amp;L&amp;F&amp;C&amp;D&amp;RSheet: &amp;A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6434D-B043-4F2C-A393-A3C26D3FEDCF}">
  <sheetPr codeName="Sheet25">
    <tabColor rgb="FFFFFF00"/>
    <pageSetUpPr fitToPage="1"/>
  </sheetPr>
  <dimension ref="B2:I34"/>
  <sheetViews>
    <sheetView view="pageBreakPreview" zoomScale="61" zoomScaleNormal="100" zoomScaleSheetLayoutView="100" workbookViewId="0"/>
  </sheetViews>
  <sheetFormatPr defaultColWidth="9.140625" defaultRowHeight="15"/>
  <cols>
    <col min="1" max="2" width="9.140625" style="2"/>
    <col min="3" max="3" width="16.42578125" style="2" customWidth="1"/>
    <col min="4" max="4" width="17.140625" style="2" customWidth="1"/>
    <col min="5" max="5" width="18.7109375" style="2" customWidth="1"/>
    <col min="6" max="6" width="56.5703125" style="2" customWidth="1"/>
    <col min="7" max="7" width="15.7109375" style="2" customWidth="1"/>
    <col min="8" max="8" width="73.28515625" style="2" customWidth="1"/>
    <col min="9" max="10" width="9.140625" style="2"/>
    <col min="11" max="11" width="16.28515625" style="2" bestFit="1" customWidth="1"/>
    <col min="12" max="16384" width="9.140625" style="2"/>
  </cols>
  <sheetData>
    <row r="2" spans="2:9" ht="18.75">
      <c r="B2" s="742" t="s">
        <v>857</v>
      </c>
      <c r="C2" s="806"/>
      <c r="D2" s="806"/>
      <c r="E2" s="806"/>
      <c r="F2" s="806"/>
      <c r="G2" s="806"/>
      <c r="H2" s="806"/>
      <c r="I2" s="807"/>
    </row>
    <row r="3" spans="2:9">
      <c r="B3" s="6" t="s">
        <v>65</v>
      </c>
      <c r="I3" s="7"/>
    </row>
    <row r="4" spans="2:9">
      <c r="B4" s="6"/>
      <c r="I4" s="7"/>
    </row>
    <row r="5" spans="2:9" ht="30">
      <c r="B5" s="6"/>
      <c r="C5" s="804" t="s">
        <v>829</v>
      </c>
      <c r="D5" s="808"/>
      <c r="E5" s="808"/>
      <c r="F5" s="448"/>
      <c r="G5" s="411" t="s">
        <v>10</v>
      </c>
      <c r="H5" s="410" t="s">
        <v>830</v>
      </c>
      <c r="I5" s="7"/>
    </row>
    <row r="6" spans="2:9">
      <c r="B6" s="6"/>
      <c r="C6" s="407" t="s">
        <v>858</v>
      </c>
      <c r="D6" s="4"/>
      <c r="E6" s="4"/>
      <c r="G6" s="68"/>
      <c r="H6" s="7"/>
      <c r="I6" s="7"/>
    </row>
    <row r="7" spans="2:9" ht="27" customHeight="1">
      <c r="B7" s="6"/>
      <c r="C7" s="6"/>
      <c r="D7" s="776" t="s">
        <v>859</v>
      </c>
      <c r="E7" s="776"/>
      <c r="F7" s="813"/>
      <c r="G7" s="68"/>
      <c r="H7" s="7"/>
      <c r="I7" s="7"/>
    </row>
    <row r="8" spans="2:9" ht="31.5" customHeight="1">
      <c r="B8" s="6"/>
      <c r="C8" s="6"/>
      <c r="D8" s="22"/>
      <c r="E8" s="721" t="s">
        <v>860</v>
      </c>
      <c r="F8" s="810"/>
      <c r="G8" s="231"/>
      <c r="H8" s="29"/>
      <c r="I8" s="7"/>
    </row>
    <row r="9" spans="2:9">
      <c r="B9" s="6"/>
      <c r="C9" s="6"/>
      <c r="D9" s="22"/>
      <c r="E9" s="28"/>
      <c r="F9" s="342" t="s">
        <v>861</v>
      </c>
      <c r="G9" s="227" t="s">
        <v>27</v>
      </c>
      <c r="H9" s="18"/>
      <c r="I9" s="7"/>
    </row>
    <row r="10" spans="2:9" ht="45">
      <c r="B10" s="6"/>
      <c r="C10" s="6"/>
      <c r="D10" s="22"/>
      <c r="E10" s="28"/>
      <c r="F10" s="449" t="s">
        <v>862</v>
      </c>
      <c r="G10" s="231" t="s">
        <v>27</v>
      </c>
      <c r="H10" s="29"/>
      <c r="I10" s="7"/>
    </row>
    <row r="11" spans="2:9" ht="60">
      <c r="B11" s="6"/>
      <c r="C11" s="6"/>
      <c r="D11" s="22"/>
      <c r="E11" s="28"/>
      <c r="F11" s="342" t="s">
        <v>863</v>
      </c>
      <c r="G11" s="227" t="s">
        <v>869</v>
      </c>
      <c r="H11" s="671" t="s">
        <v>864</v>
      </c>
      <c r="I11" s="7"/>
    </row>
    <row r="12" spans="2:9" ht="45">
      <c r="B12" s="6"/>
      <c r="C12" s="6"/>
      <c r="D12" s="22"/>
      <c r="E12" s="28"/>
      <c r="F12" s="449" t="s">
        <v>865</v>
      </c>
      <c r="G12" s="231" t="s">
        <v>27</v>
      </c>
      <c r="H12" s="29"/>
      <c r="I12" s="7"/>
    </row>
    <row r="13" spans="2:9" ht="44.25" customHeight="1">
      <c r="B13" s="6"/>
      <c r="C13" s="6"/>
      <c r="D13" s="22"/>
      <c r="E13" s="760" t="s">
        <v>866</v>
      </c>
      <c r="F13" s="809"/>
      <c r="G13" s="227" t="s">
        <v>29</v>
      </c>
      <c r="H13" s="18"/>
      <c r="I13" s="7"/>
    </row>
    <row r="14" spans="2:9" ht="28.5" customHeight="1">
      <c r="B14" s="6"/>
      <c r="C14" s="6"/>
      <c r="D14" s="22"/>
      <c r="E14" s="721" t="s">
        <v>867</v>
      </c>
      <c r="F14" s="810"/>
      <c r="G14" s="231"/>
      <c r="H14" s="29"/>
      <c r="I14" s="7"/>
    </row>
    <row r="15" spans="2:9" ht="30">
      <c r="B15" s="6"/>
      <c r="C15" s="6"/>
      <c r="D15" s="22"/>
      <c r="E15" s="28"/>
      <c r="F15" s="342" t="s">
        <v>868</v>
      </c>
      <c r="G15" s="227" t="s">
        <v>869</v>
      </c>
      <c r="H15" s="18"/>
      <c r="I15" s="7"/>
    </row>
    <row r="16" spans="2:9" ht="45">
      <c r="B16" s="6"/>
      <c r="C16" s="6"/>
      <c r="D16" s="22"/>
      <c r="E16" s="28"/>
      <c r="F16" s="449" t="s">
        <v>870</v>
      </c>
      <c r="G16" s="231" t="s">
        <v>869</v>
      </c>
      <c r="H16" s="29"/>
      <c r="I16" s="7"/>
    </row>
    <row r="17" spans="2:9" ht="45">
      <c r="B17" s="6"/>
      <c r="C17" s="6"/>
      <c r="D17" s="22"/>
      <c r="E17" s="28"/>
      <c r="F17" s="342" t="s">
        <v>871</v>
      </c>
      <c r="G17" s="227" t="s">
        <v>869</v>
      </c>
      <c r="H17" s="18"/>
      <c r="I17" s="7"/>
    </row>
    <row r="18" spans="2:9">
      <c r="B18" s="6"/>
      <c r="C18" s="6"/>
      <c r="D18" s="22"/>
      <c r="E18" s="28"/>
      <c r="F18" s="449" t="s">
        <v>872</v>
      </c>
      <c r="G18" s="231" t="s">
        <v>869</v>
      </c>
      <c r="H18" s="29"/>
      <c r="I18" s="7"/>
    </row>
    <row r="19" spans="2:9" ht="30">
      <c r="B19" s="6"/>
      <c r="C19" s="6"/>
      <c r="D19" s="22"/>
      <c r="E19" s="28"/>
      <c r="F19" s="342" t="s">
        <v>873</v>
      </c>
      <c r="G19" s="227" t="s">
        <v>869</v>
      </c>
      <c r="H19" s="18"/>
      <c r="I19" s="7"/>
    </row>
    <row r="20" spans="2:9" ht="45">
      <c r="B20" s="6"/>
      <c r="C20" s="6"/>
      <c r="D20" s="22"/>
      <c r="E20" s="28"/>
      <c r="F20" s="449" t="s">
        <v>874</v>
      </c>
      <c r="G20" s="231" t="s">
        <v>869</v>
      </c>
      <c r="H20" s="464" t="s">
        <v>875</v>
      </c>
      <c r="I20" s="7"/>
    </row>
    <row r="21" spans="2:9" ht="45">
      <c r="B21" s="6"/>
      <c r="C21" s="6"/>
      <c r="D21" s="22"/>
      <c r="E21" s="28"/>
      <c r="F21" s="342" t="s">
        <v>876</v>
      </c>
      <c r="G21" s="227" t="s">
        <v>869</v>
      </c>
      <c r="H21" s="18"/>
      <c r="I21" s="7"/>
    </row>
    <row r="22" spans="2:9" ht="47.25" customHeight="1">
      <c r="B22" s="6"/>
      <c r="C22" s="6"/>
      <c r="D22" s="22"/>
      <c r="E22" s="28"/>
      <c r="F22" s="449" t="s">
        <v>877</v>
      </c>
      <c r="G22" s="231" t="s">
        <v>869</v>
      </c>
      <c r="H22" s="29"/>
      <c r="I22" s="7"/>
    </row>
    <row r="23" spans="2:9" ht="45">
      <c r="B23" s="6"/>
      <c r="C23" s="6"/>
      <c r="D23" s="22"/>
      <c r="E23" s="28"/>
      <c r="F23" s="342" t="s">
        <v>878</v>
      </c>
      <c r="G23" s="227" t="s">
        <v>869</v>
      </c>
      <c r="H23" s="18"/>
      <c r="I23" s="7"/>
    </row>
    <row r="24" spans="2:9" ht="18.75" customHeight="1">
      <c r="B24" s="6"/>
      <c r="C24" s="6"/>
      <c r="D24" s="760" t="s">
        <v>879</v>
      </c>
      <c r="E24" s="760"/>
      <c r="F24" s="809"/>
      <c r="G24" s="227"/>
      <c r="H24" s="18"/>
      <c r="I24" s="7"/>
    </row>
    <row r="25" spans="2:9">
      <c r="B25" s="6"/>
      <c r="C25" s="6"/>
      <c r="D25" s="22"/>
      <c r="E25" s="721" t="s">
        <v>880</v>
      </c>
      <c r="F25" s="810"/>
      <c r="G25" s="231" t="s">
        <v>53</v>
      </c>
      <c r="H25" s="29"/>
      <c r="I25" s="7"/>
    </row>
    <row r="26" spans="2:9">
      <c r="B26" s="6"/>
      <c r="C26" s="6"/>
      <c r="D26" s="22"/>
      <c r="E26" s="760" t="s">
        <v>881</v>
      </c>
      <c r="F26" s="809"/>
      <c r="G26" s="227" t="s">
        <v>51</v>
      </c>
      <c r="H26" s="18"/>
      <c r="I26" s="7"/>
    </row>
    <row r="27" spans="2:9">
      <c r="B27" s="6"/>
      <c r="C27" s="6"/>
      <c r="D27" s="22"/>
      <c r="E27" s="721" t="s">
        <v>882</v>
      </c>
      <c r="F27" s="810"/>
      <c r="G27" s="231" t="s">
        <v>51</v>
      </c>
      <c r="H27" s="29"/>
      <c r="I27" s="7"/>
    </row>
    <row r="28" spans="2:9" ht="31.5" customHeight="1">
      <c r="B28" s="6"/>
      <c r="C28" s="6"/>
      <c r="D28" s="22"/>
      <c r="E28" s="760" t="s">
        <v>883</v>
      </c>
      <c r="F28" s="809"/>
      <c r="G28" s="227" t="s">
        <v>51</v>
      </c>
      <c r="H28" s="18"/>
      <c r="I28" s="7"/>
    </row>
    <row r="29" spans="2:9" ht="31.5" customHeight="1">
      <c r="B29" s="6"/>
      <c r="C29" s="6"/>
      <c r="D29" s="22"/>
      <c r="E29" s="721" t="s">
        <v>884</v>
      </c>
      <c r="F29" s="810"/>
      <c r="G29" s="231" t="s">
        <v>885</v>
      </c>
      <c r="H29" s="29"/>
      <c r="I29" s="7"/>
    </row>
    <row r="30" spans="2:9" ht="44.25" customHeight="1">
      <c r="B30" s="6"/>
      <c r="C30" s="6"/>
      <c r="D30" s="22"/>
      <c r="E30" s="760" t="s">
        <v>886</v>
      </c>
      <c r="F30" s="809"/>
      <c r="G30" s="227" t="s">
        <v>885</v>
      </c>
      <c r="H30" s="18"/>
      <c r="I30" s="7"/>
    </row>
    <row r="31" spans="2:9" ht="58.5" customHeight="1">
      <c r="B31" s="6"/>
      <c r="C31" s="6"/>
      <c r="D31" s="22"/>
      <c r="E31" s="721" t="s">
        <v>887</v>
      </c>
      <c r="F31" s="810"/>
      <c r="G31" s="231" t="s">
        <v>888</v>
      </c>
      <c r="H31" s="29"/>
      <c r="I31" s="7"/>
    </row>
    <row r="32" spans="2:9" ht="58.5" customHeight="1">
      <c r="B32" s="6"/>
      <c r="C32" s="6"/>
      <c r="D32" s="22"/>
      <c r="E32" s="760" t="s">
        <v>889</v>
      </c>
      <c r="F32" s="809"/>
      <c r="G32" s="227" t="s">
        <v>888</v>
      </c>
      <c r="H32" s="18"/>
      <c r="I32" s="7"/>
    </row>
    <row r="33" spans="2:9" ht="30.75" customHeight="1">
      <c r="B33" s="6"/>
      <c r="C33" s="9"/>
      <c r="D33" s="386"/>
      <c r="E33" s="811" t="s">
        <v>890</v>
      </c>
      <c r="F33" s="812"/>
      <c r="G33" s="450" t="s">
        <v>888</v>
      </c>
      <c r="H33" s="451"/>
      <c r="I33" s="7"/>
    </row>
    <row r="34" spans="2:9">
      <c r="B34" s="9"/>
      <c r="C34" s="10"/>
      <c r="D34" s="10"/>
      <c r="E34" s="10"/>
      <c r="F34" s="10"/>
      <c r="G34" s="10"/>
      <c r="H34" s="10"/>
      <c r="I34" s="23"/>
    </row>
  </sheetData>
  <mergeCells count="16">
    <mergeCell ref="E33:F33"/>
    <mergeCell ref="D7:F7"/>
    <mergeCell ref="E8:F8"/>
    <mergeCell ref="E13:F13"/>
    <mergeCell ref="E14:F14"/>
    <mergeCell ref="B2:I2"/>
    <mergeCell ref="C5:E5"/>
    <mergeCell ref="E30:F30"/>
    <mergeCell ref="E31:F31"/>
    <mergeCell ref="E32:F32"/>
    <mergeCell ref="D24:F24"/>
    <mergeCell ref="E26:F26"/>
    <mergeCell ref="E27:F27"/>
    <mergeCell ref="E28:F28"/>
    <mergeCell ref="E29:F29"/>
    <mergeCell ref="E25:F25"/>
  </mergeCells>
  <phoneticPr fontId="1" type="noConversion"/>
  <hyperlinks>
    <hyperlink ref="B2:I2" location="Contents!A1" display="Standard incentive rate base capex allowance - expenditure basis (excluding capitalised operating leases)" xr:uid="{BD365D32-3506-416D-9C67-30D844D27353}"/>
  </hyperlinks>
  <pageMargins left="0.70866141732283472" right="0.70866141732283472" top="0.74803149606299213" bottom="0.74803149606299213" header="0.31496062992125984" footer="0.31496062992125984"/>
  <pageSetup paperSize="9" scale="46" orientation="landscape" r:id="rId1"/>
  <headerFooter>
    <oddFooter>&amp;L&amp;F&amp;C&amp;D&amp;RSheet: &amp;A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4FD75-34EB-4340-8285-3CC1B70CD7B6}">
  <sheetPr codeName="Sheet26">
    <tabColor rgb="FF7030A0"/>
    <pageSetUpPr fitToPage="1"/>
  </sheetPr>
  <dimension ref="B2:AG54"/>
  <sheetViews>
    <sheetView view="pageBreakPreview" zoomScale="57" zoomScaleNormal="85" zoomScaleSheetLayoutView="80" workbookViewId="0">
      <selection activeCell="C32" sqref="C32:J32"/>
    </sheetView>
  </sheetViews>
  <sheetFormatPr defaultColWidth="9.140625" defaultRowHeight="15"/>
  <cols>
    <col min="1" max="1" width="9.140625" style="2"/>
    <col min="2" max="2" width="7.42578125" style="2" customWidth="1"/>
    <col min="3" max="3" width="20.85546875" style="2" customWidth="1"/>
    <col min="4" max="4" width="41.5703125" style="2" bestFit="1" customWidth="1"/>
    <col min="5" max="7" width="9.140625" style="2"/>
    <col min="8" max="8" width="15.85546875" style="2" bestFit="1" customWidth="1"/>
    <col min="9" max="12" width="15.85546875" style="2" customWidth="1"/>
    <col min="13" max="13" width="11" style="2" customWidth="1"/>
    <col min="14" max="18" width="12.140625" style="2" customWidth="1"/>
    <col min="19" max="19" width="13.42578125" style="2" customWidth="1"/>
    <col min="20" max="20" width="15.28515625" style="2" customWidth="1"/>
    <col min="21" max="21" width="13.7109375" style="2" customWidth="1"/>
    <col min="22" max="23" width="13.42578125" style="2" customWidth="1"/>
    <col min="24" max="33" width="13.140625" style="2" customWidth="1"/>
    <col min="34" max="16384" width="9.140625" style="2"/>
  </cols>
  <sheetData>
    <row r="2" spans="2:33" ht="18.75">
      <c r="B2" s="742" t="s">
        <v>891</v>
      </c>
      <c r="C2" s="743"/>
      <c r="D2" s="743"/>
      <c r="E2" s="743"/>
      <c r="F2" s="743"/>
      <c r="G2" s="4"/>
      <c r="H2" s="4"/>
      <c r="I2" s="4"/>
      <c r="J2" s="4"/>
      <c r="K2" s="4"/>
      <c r="L2" s="4"/>
      <c r="M2" s="4"/>
      <c r="N2" s="4"/>
      <c r="O2" s="4"/>
      <c r="P2" s="4"/>
      <c r="Q2" s="4"/>
      <c r="R2" s="4"/>
      <c r="S2" s="4"/>
      <c r="T2" s="4"/>
      <c r="U2" s="4"/>
      <c r="V2" s="4"/>
      <c r="W2" s="4"/>
      <c r="X2" s="4"/>
      <c r="Y2" s="4"/>
      <c r="Z2" s="4"/>
      <c r="AA2" s="4"/>
      <c r="AB2" s="4"/>
      <c r="AC2" s="4"/>
      <c r="AD2" s="4"/>
      <c r="AE2" s="4"/>
      <c r="AF2" s="4"/>
      <c r="AG2" s="5"/>
    </row>
    <row r="3" spans="2:33">
      <c r="B3" s="6" t="s">
        <v>15</v>
      </c>
      <c r="T3" s="3"/>
      <c r="U3" s="3"/>
      <c r="V3" s="3"/>
      <c r="W3" s="3"/>
      <c r="X3" s="3"/>
      <c r="Y3" s="3"/>
      <c r="Z3" s="3"/>
      <c r="AA3" s="3"/>
      <c r="AB3" s="3"/>
      <c r="AC3" s="3"/>
      <c r="AD3" s="3"/>
      <c r="AE3" s="3"/>
      <c r="AF3" s="3"/>
      <c r="AG3" s="7"/>
    </row>
    <row r="4" spans="2:33">
      <c r="B4" s="6"/>
      <c r="O4" s="625"/>
      <c r="P4" s="519"/>
      <c r="R4" s="3"/>
      <c r="S4" s="3"/>
      <c r="T4" s="3"/>
      <c r="U4" s="3"/>
      <c r="V4" s="3"/>
      <c r="W4" s="3"/>
      <c r="X4" s="3"/>
      <c r="Y4" s="3"/>
      <c r="Z4" s="3"/>
      <c r="AA4" s="3"/>
      <c r="AB4" s="3"/>
      <c r="AC4" s="3"/>
      <c r="AD4" s="3"/>
      <c r="AE4" s="3"/>
      <c r="AF4" s="3"/>
      <c r="AG4" s="7"/>
    </row>
    <row r="5" spans="2:33" ht="90">
      <c r="B5" s="24"/>
      <c r="C5" s="740" t="s">
        <v>95</v>
      </c>
      <c r="D5" s="741"/>
      <c r="E5" s="317" t="s">
        <v>96</v>
      </c>
      <c r="F5" s="463" t="s">
        <v>97</v>
      </c>
      <c r="G5" s="463" t="s">
        <v>98</v>
      </c>
      <c r="H5" s="463" t="s">
        <v>99</v>
      </c>
      <c r="I5" s="463" t="s">
        <v>100</v>
      </c>
      <c r="J5" s="463" t="s">
        <v>101</v>
      </c>
      <c r="K5" s="463" t="s">
        <v>102</v>
      </c>
      <c r="L5" s="463" t="s">
        <v>103</v>
      </c>
      <c r="M5" s="317" t="s">
        <v>104</v>
      </c>
      <c r="N5" s="317" t="s">
        <v>105</v>
      </c>
      <c r="O5" s="317" t="s">
        <v>106</v>
      </c>
      <c r="P5" s="317" t="s">
        <v>107</v>
      </c>
      <c r="Q5" s="317" t="s">
        <v>108</v>
      </c>
      <c r="R5" s="317" t="s">
        <v>109</v>
      </c>
      <c r="S5" s="317" t="s">
        <v>110</v>
      </c>
      <c r="T5" s="470" t="s">
        <v>111</v>
      </c>
      <c r="U5" s="317" t="s">
        <v>112</v>
      </c>
      <c r="V5" s="317" t="s">
        <v>113</v>
      </c>
      <c r="W5" s="470" t="s">
        <v>114</v>
      </c>
      <c r="X5" s="317" t="s">
        <v>115</v>
      </c>
      <c r="Y5" s="317" t="s">
        <v>116</v>
      </c>
      <c r="Z5" s="470" t="s">
        <v>117</v>
      </c>
      <c r="AA5" s="317" t="s">
        <v>118</v>
      </c>
      <c r="AB5" s="317" t="s">
        <v>119</v>
      </c>
      <c r="AC5" s="470" t="s">
        <v>120</v>
      </c>
      <c r="AD5" s="317" t="s">
        <v>121</v>
      </c>
      <c r="AE5" s="317" t="s">
        <v>122</v>
      </c>
      <c r="AF5" s="470" t="s">
        <v>123</v>
      </c>
      <c r="AG5" s="7"/>
    </row>
    <row r="6" spans="2:33">
      <c r="B6" s="33" t="s">
        <v>124</v>
      </c>
      <c r="C6" s="34"/>
      <c r="D6" s="34"/>
      <c r="E6" s="62" t="s">
        <v>125</v>
      </c>
      <c r="F6" s="34" t="s">
        <v>126</v>
      </c>
      <c r="G6" s="34" t="s">
        <v>127</v>
      </c>
      <c r="H6" s="34"/>
      <c r="I6" s="34"/>
      <c r="J6" s="34"/>
      <c r="K6" s="34"/>
      <c r="L6" s="34"/>
      <c r="M6" s="62" t="s">
        <v>128</v>
      </c>
      <c r="N6" s="62" t="s">
        <v>128</v>
      </c>
      <c r="O6" s="62" t="s">
        <v>128</v>
      </c>
      <c r="P6" s="62" t="s">
        <v>128</v>
      </c>
      <c r="Q6" s="62" t="s">
        <v>128</v>
      </c>
      <c r="R6" s="62"/>
      <c r="S6" s="62"/>
      <c r="T6" s="62"/>
      <c r="U6" s="36"/>
      <c r="V6" s="62"/>
      <c r="W6" s="62"/>
      <c r="X6" s="62"/>
      <c r="Y6" s="62"/>
      <c r="Z6" s="62"/>
      <c r="AA6" s="62"/>
      <c r="AB6" s="62"/>
      <c r="AC6" s="62"/>
      <c r="AD6" s="62"/>
      <c r="AE6" s="62"/>
      <c r="AF6" s="62"/>
      <c r="AG6" s="7"/>
    </row>
    <row r="7" spans="2:33" ht="45">
      <c r="B7" s="6"/>
      <c r="C7" s="289" t="s">
        <v>129</v>
      </c>
      <c r="D7" s="290"/>
      <c r="E7" s="300"/>
      <c r="F7" s="300"/>
      <c r="G7" s="300"/>
      <c r="H7" s="471"/>
      <c r="I7" s="471"/>
      <c r="J7" s="471"/>
      <c r="K7" s="471"/>
      <c r="L7" s="471"/>
      <c r="M7" s="472"/>
      <c r="N7" s="472"/>
      <c r="O7" s="472"/>
      <c r="P7" s="472" t="s">
        <v>130</v>
      </c>
      <c r="Q7" s="472"/>
      <c r="R7" s="510"/>
      <c r="S7" s="511" t="str">
        <f>IF(COUNTIF(R8:R13,"Yes")&gt;=4,"Yes","No")</f>
        <v>Yes</v>
      </c>
      <c r="T7" s="511" t="s">
        <v>131</v>
      </c>
      <c r="U7" s="512"/>
      <c r="V7" s="511" t="str">
        <f>IF($U8="N/A","N/A",IF(COUNTIF(U8:U13,"Yes")&gt;=4,"Yes","No"))</f>
        <v>Yes</v>
      </c>
      <c r="W7" s="511" t="str">
        <f>IF($V7="N/A","N/A",IF(OR(V7="Yes",S7="Yes"),"Yes","No"))</f>
        <v>Yes</v>
      </c>
      <c r="X7" s="510"/>
      <c r="Y7" s="511" t="str">
        <f>IF($X8="N/A","N/A",IF(COUNTIF(X8:X13,"Yes")&gt;=4,"Yes","No"))</f>
        <v>Yes</v>
      </c>
      <c r="Z7" s="511" t="str">
        <f>IF($Y7="N/A","N/A",IF(OR(Y7="Yes",AND(S7="Yes",V7="Yes")),"Yes","No"))</f>
        <v>Yes</v>
      </c>
      <c r="AA7" s="510"/>
      <c r="AB7" s="511" t="str">
        <f>IF($AA8="N/A","N/A",IF(COUNTIF(AA8:AA13,"Yes")&gt;=4,"Yes","No"))</f>
        <v>Yes</v>
      </c>
      <c r="AC7" s="511" t="str">
        <f>IF($AB7="N/A","N/A",IF(OR(AB7="Yes",AND(V7="Yes",Y7="Yes")),"Yes","No"))</f>
        <v>Yes</v>
      </c>
      <c r="AD7" s="510"/>
      <c r="AE7" s="511" t="str">
        <f>IF($AD8="N/A","N/A",IF(COUNTIF(AD8:AD13,"Yes")&gt;=4,"Yes","No"))</f>
        <v>Yes</v>
      </c>
      <c r="AF7" s="511" t="str">
        <f>IF($AE7="N/A","N/A",IF(OR(AE7="Yes",AND(AB7="Yes",Y7="Yes")),"Yes","No"))</f>
        <v>Yes</v>
      </c>
      <c r="AG7" s="473"/>
    </row>
    <row r="8" spans="2:33">
      <c r="B8" s="6"/>
      <c r="C8" s="226"/>
      <c r="D8" s="226" t="s">
        <v>132</v>
      </c>
      <c r="E8" s="292">
        <v>0</v>
      </c>
      <c r="F8" s="292">
        <v>7</v>
      </c>
      <c r="G8" s="292">
        <v>14</v>
      </c>
      <c r="H8" s="292">
        <v>14</v>
      </c>
      <c r="I8" s="292">
        <v>14</v>
      </c>
      <c r="J8" s="292">
        <v>14</v>
      </c>
      <c r="K8" s="292">
        <v>14</v>
      </c>
      <c r="L8" s="292">
        <v>14</v>
      </c>
      <c r="M8" s="610">
        <v>1</v>
      </c>
      <c r="N8" s="610">
        <v>0</v>
      </c>
      <c r="O8" s="610">
        <v>5</v>
      </c>
      <c r="P8" s="610">
        <v>5</v>
      </c>
      <c r="Q8" s="610">
        <v>2</v>
      </c>
      <c r="R8" s="503" t="str">
        <f>IF($M8&lt;=$H8,"Yes","No")</f>
        <v>Yes</v>
      </c>
      <c r="S8" s="503"/>
      <c r="T8" s="503"/>
      <c r="U8" s="503" t="str">
        <f t="shared" ref="U8:U12" si="0">IF($N8="N/A","N/A",IF($N8&lt;=I8,"Yes","No"))</f>
        <v>Yes</v>
      </c>
      <c r="V8" s="503"/>
      <c r="W8" s="503"/>
      <c r="X8" s="503" t="str">
        <f>IF($O8="N/A","N/A",IF($O8&lt;=J8,"Yes","No"))</f>
        <v>Yes</v>
      </c>
      <c r="Y8" s="503"/>
      <c r="Z8" s="503"/>
      <c r="AA8" s="503" t="str">
        <f>IF($P8="N/A","N/A",IF($P8&lt;=K8,"Yes","No"))</f>
        <v>Yes</v>
      </c>
      <c r="AB8" s="503"/>
      <c r="AC8" s="503"/>
      <c r="AD8" s="503" t="str">
        <f t="shared" ref="AD8:AD13" si="1">IF($Q8="N/A","N/A",IF($Q8&lt;=L8,"Yes","No"))</f>
        <v>Yes</v>
      </c>
      <c r="AE8" s="503"/>
      <c r="AF8" s="503"/>
      <c r="AG8" s="7"/>
    </row>
    <row r="9" spans="2:33">
      <c r="B9" s="6"/>
      <c r="C9" s="39"/>
      <c r="D9" s="39" t="s">
        <v>133</v>
      </c>
      <c r="E9" s="293">
        <v>7</v>
      </c>
      <c r="F9" s="293">
        <v>24</v>
      </c>
      <c r="G9" s="293">
        <v>41</v>
      </c>
      <c r="H9" s="293">
        <v>41</v>
      </c>
      <c r="I9" s="293">
        <v>41</v>
      </c>
      <c r="J9" s="293">
        <v>41</v>
      </c>
      <c r="K9" s="293">
        <v>41</v>
      </c>
      <c r="L9" s="293">
        <v>41</v>
      </c>
      <c r="M9" s="611">
        <v>10</v>
      </c>
      <c r="N9" s="611">
        <v>17</v>
      </c>
      <c r="O9" s="611">
        <v>11</v>
      </c>
      <c r="P9" s="611">
        <v>10</v>
      </c>
      <c r="Q9" s="611">
        <v>13</v>
      </c>
      <c r="R9" s="504" t="str">
        <f t="shared" ref="R9:R13" si="2">IF($M9&lt;=$H9,"Yes","No")</f>
        <v>Yes</v>
      </c>
      <c r="S9" s="504"/>
      <c r="T9" s="504"/>
      <c r="U9" s="504" t="str">
        <f t="shared" si="0"/>
        <v>Yes</v>
      </c>
      <c r="V9" s="504"/>
      <c r="W9" s="504"/>
      <c r="X9" s="504" t="str">
        <f t="shared" ref="X9:X13" si="3">IF($O9="N/A","N/A",IF($O9&lt;=J9,"Yes","No"))</f>
        <v>Yes</v>
      </c>
      <c r="Y9" s="504"/>
      <c r="Z9" s="504"/>
      <c r="AA9" s="504" t="str">
        <f t="shared" ref="AA9:AA13" si="4">IF($P9="N/A","N/A",IF($P9&lt;=K9,"Yes","No"))</f>
        <v>Yes</v>
      </c>
      <c r="AB9" s="504"/>
      <c r="AC9" s="504"/>
      <c r="AD9" s="504" t="str">
        <f t="shared" si="1"/>
        <v>Yes</v>
      </c>
      <c r="AE9" s="504"/>
      <c r="AF9" s="513"/>
      <c r="AG9" s="7"/>
    </row>
    <row r="10" spans="2:33">
      <c r="B10" s="6"/>
      <c r="C10" s="226"/>
      <c r="D10" s="226" t="s">
        <v>134</v>
      </c>
      <c r="E10" s="294">
        <v>4</v>
      </c>
      <c r="F10" s="294">
        <v>6</v>
      </c>
      <c r="G10" s="294">
        <v>8</v>
      </c>
      <c r="H10" s="294">
        <v>8</v>
      </c>
      <c r="I10" s="294">
        <v>8</v>
      </c>
      <c r="J10" s="294">
        <v>8</v>
      </c>
      <c r="K10" s="294">
        <v>8</v>
      </c>
      <c r="L10" s="294">
        <v>8</v>
      </c>
      <c r="M10" s="612">
        <v>7</v>
      </c>
      <c r="N10" s="612">
        <v>3</v>
      </c>
      <c r="O10" s="612">
        <v>2</v>
      </c>
      <c r="P10" s="612">
        <v>2</v>
      </c>
      <c r="Q10" s="612">
        <v>3</v>
      </c>
      <c r="R10" s="505" t="str">
        <f t="shared" si="2"/>
        <v>Yes</v>
      </c>
      <c r="S10" s="505"/>
      <c r="T10" s="505"/>
      <c r="U10" s="505" t="str">
        <f t="shared" si="0"/>
        <v>Yes</v>
      </c>
      <c r="V10" s="505"/>
      <c r="W10" s="505"/>
      <c r="X10" s="505" t="str">
        <f t="shared" si="3"/>
        <v>Yes</v>
      </c>
      <c r="Y10" s="505"/>
      <c r="Z10" s="505"/>
      <c r="AA10" s="505" t="str">
        <f t="shared" si="4"/>
        <v>Yes</v>
      </c>
      <c r="AB10" s="505"/>
      <c r="AC10" s="505"/>
      <c r="AD10" s="505" t="str">
        <f t="shared" si="1"/>
        <v>Yes</v>
      </c>
      <c r="AE10" s="505"/>
      <c r="AF10" s="505"/>
      <c r="AG10" s="7"/>
    </row>
    <row r="11" spans="2:33">
      <c r="B11" s="6"/>
      <c r="C11" s="39"/>
      <c r="D11" s="39" t="s">
        <v>135</v>
      </c>
      <c r="E11" s="293">
        <v>9</v>
      </c>
      <c r="F11" s="293">
        <v>23</v>
      </c>
      <c r="G11" s="293">
        <v>37</v>
      </c>
      <c r="H11" s="293">
        <v>37</v>
      </c>
      <c r="I11" s="293">
        <v>37</v>
      </c>
      <c r="J11" s="293">
        <v>37</v>
      </c>
      <c r="K11" s="293">
        <v>37</v>
      </c>
      <c r="L11" s="293">
        <v>37</v>
      </c>
      <c r="M11" s="611">
        <v>13</v>
      </c>
      <c r="N11" s="611">
        <v>12</v>
      </c>
      <c r="O11" s="611">
        <v>16</v>
      </c>
      <c r="P11" s="611">
        <v>12</v>
      </c>
      <c r="Q11" s="611">
        <v>15</v>
      </c>
      <c r="R11" s="504" t="str">
        <f t="shared" si="2"/>
        <v>Yes</v>
      </c>
      <c r="S11" s="504"/>
      <c r="T11" s="504"/>
      <c r="U11" s="504" t="str">
        <f t="shared" si="0"/>
        <v>Yes</v>
      </c>
      <c r="V11" s="504"/>
      <c r="W11" s="504"/>
      <c r="X11" s="504" t="str">
        <f t="shared" si="3"/>
        <v>Yes</v>
      </c>
      <c r="Y11" s="504"/>
      <c r="Z11" s="504"/>
      <c r="AA11" s="504" t="str">
        <f t="shared" si="4"/>
        <v>Yes</v>
      </c>
      <c r="AB11" s="504"/>
      <c r="AC11" s="504"/>
      <c r="AD11" s="504" t="str">
        <f t="shared" si="1"/>
        <v>Yes</v>
      </c>
      <c r="AE11" s="504"/>
      <c r="AF11" s="513"/>
      <c r="AG11" s="7"/>
    </row>
    <row r="12" spans="2:33">
      <c r="B12" s="6"/>
      <c r="C12" s="226"/>
      <c r="D12" s="226" t="s">
        <v>136</v>
      </c>
      <c r="E12" s="294">
        <v>5</v>
      </c>
      <c r="F12" s="294">
        <v>9</v>
      </c>
      <c r="G12" s="294">
        <v>13</v>
      </c>
      <c r="H12" s="294">
        <v>13</v>
      </c>
      <c r="I12" s="294">
        <v>13</v>
      </c>
      <c r="J12" s="294">
        <v>13</v>
      </c>
      <c r="K12" s="294">
        <v>13</v>
      </c>
      <c r="L12" s="294">
        <v>13</v>
      </c>
      <c r="M12" s="612">
        <v>11</v>
      </c>
      <c r="N12" s="612">
        <v>7</v>
      </c>
      <c r="O12" s="612">
        <v>9</v>
      </c>
      <c r="P12" s="612">
        <v>3</v>
      </c>
      <c r="Q12" s="612">
        <v>9</v>
      </c>
      <c r="R12" s="505" t="str">
        <f t="shared" si="2"/>
        <v>Yes</v>
      </c>
      <c r="S12" s="505"/>
      <c r="T12" s="505"/>
      <c r="U12" s="505" t="str">
        <f t="shared" si="0"/>
        <v>Yes</v>
      </c>
      <c r="V12" s="505"/>
      <c r="W12" s="505"/>
      <c r="X12" s="505" t="str">
        <f t="shared" si="3"/>
        <v>Yes</v>
      </c>
      <c r="Y12" s="505"/>
      <c r="Z12" s="505"/>
      <c r="AA12" s="505" t="str">
        <f t="shared" si="4"/>
        <v>Yes</v>
      </c>
      <c r="AB12" s="505"/>
      <c r="AC12" s="505"/>
      <c r="AD12" s="505" t="str">
        <f t="shared" si="1"/>
        <v>Yes</v>
      </c>
      <c r="AE12" s="505"/>
      <c r="AF12" s="505"/>
      <c r="AG12" s="7"/>
    </row>
    <row r="13" spans="2:33">
      <c r="B13" s="6"/>
      <c r="C13" s="282"/>
      <c r="D13" s="282" t="s">
        <v>137</v>
      </c>
      <c r="E13" s="296">
        <v>6</v>
      </c>
      <c r="F13" s="296">
        <v>12</v>
      </c>
      <c r="G13" s="296">
        <v>18</v>
      </c>
      <c r="H13" s="296">
        <v>18</v>
      </c>
      <c r="I13" s="296">
        <v>18</v>
      </c>
      <c r="J13" s="296">
        <v>18</v>
      </c>
      <c r="K13" s="296">
        <v>18</v>
      </c>
      <c r="L13" s="296">
        <v>18</v>
      </c>
      <c r="M13" s="613">
        <v>2</v>
      </c>
      <c r="N13" s="613">
        <v>13</v>
      </c>
      <c r="O13" s="613">
        <v>16</v>
      </c>
      <c r="P13" s="613">
        <v>6</v>
      </c>
      <c r="Q13" s="613">
        <v>6</v>
      </c>
      <c r="R13" s="506" t="str">
        <f t="shared" si="2"/>
        <v>Yes</v>
      </c>
      <c r="S13" s="506"/>
      <c r="T13" s="506"/>
      <c r="U13" s="506" t="str">
        <f>IF($N13="N/A","N/A",IF($N13&lt;=I13,"Yes","No"))</f>
        <v>Yes</v>
      </c>
      <c r="V13" s="506"/>
      <c r="W13" s="506"/>
      <c r="X13" s="506" t="str">
        <f t="shared" si="3"/>
        <v>Yes</v>
      </c>
      <c r="Y13" s="506"/>
      <c r="Z13" s="506"/>
      <c r="AA13" s="506" t="str">
        <f t="shared" si="4"/>
        <v>Yes</v>
      </c>
      <c r="AB13" s="506"/>
      <c r="AC13" s="506"/>
      <c r="AD13" s="506" t="str">
        <f t="shared" si="1"/>
        <v>Yes</v>
      </c>
      <c r="AE13" s="506"/>
      <c r="AF13" s="514"/>
      <c r="AG13" s="7"/>
    </row>
    <row r="14" spans="2:33" ht="43.5" customHeight="1">
      <c r="B14" s="6"/>
      <c r="C14" s="289" t="s">
        <v>138</v>
      </c>
      <c r="D14" s="290"/>
      <c r="E14" s="300"/>
      <c r="F14" s="300"/>
      <c r="G14" s="300"/>
      <c r="H14" s="471"/>
      <c r="I14" s="471"/>
      <c r="J14" s="471"/>
      <c r="K14" s="471"/>
      <c r="L14" s="471"/>
      <c r="M14" s="617"/>
      <c r="N14" s="507"/>
      <c r="O14" s="507"/>
      <c r="P14" s="507"/>
      <c r="Q14" s="507"/>
      <c r="R14" s="507"/>
      <c r="S14" s="507" t="str">
        <f>IF(COUNTIF(R15:R20,"Yes")&gt;=4,"Yes","No")</f>
        <v>Yes</v>
      </c>
      <c r="T14" s="507" t="s">
        <v>139</v>
      </c>
      <c r="U14" s="507"/>
      <c r="V14" s="511" t="str">
        <f>IF($U15="N/A","N/A",IF(COUNTIF(U15:U20,"Yes")&gt;=4,"Yes","No"))</f>
        <v>Yes</v>
      </c>
      <c r="W14" s="511" t="str">
        <f>IF($V14="N/A","N/A",IF(OR(V14="Yes",S14="Yes"),"Yes","No"))</f>
        <v>Yes</v>
      </c>
      <c r="X14" s="510"/>
      <c r="Y14" s="511" t="str">
        <f>IF($X15="N/A","N/A",IF(COUNTIF(X15:X20,"Yes")&gt;=4,"Yes","No"))</f>
        <v>Yes</v>
      </c>
      <c r="Z14" s="511" t="str">
        <f>IF($Y14="N/A","N/A",IF(OR(Y14="Yes",AND(S14="Yes",V14="Yes")),"Yes","No"))</f>
        <v>Yes</v>
      </c>
      <c r="AA14" s="510"/>
      <c r="AB14" s="511" t="str">
        <f>IF($AA15="N/A","N/A",IF(COUNTIF(AA15:AA20,"Yes")&gt;=4,"Yes","No"))</f>
        <v>Yes</v>
      </c>
      <c r="AC14" s="511" t="str">
        <f>IF($AB14="N/A","N/A",IF(OR(AB14="Yes",AND(V14="Yes",Y14="Yes")),"Yes","No"))</f>
        <v>Yes</v>
      </c>
      <c r="AD14" s="510"/>
      <c r="AE14" s="511" t="str">
        <f>IF($AD15="N/A","N/A",IF(COUNTIF(AD15:AD20,"Yes")&gt;=4,"Yes","No"))</f>
        <v>Yes</v>
      </c>
      <c r="AF14" s="511" t="str">
        <f>IF($AE14="N/A","N/A",IF(OR(AE14="Yes",AND(AB14="Yes",Y14="Yes")),"Yes","No"))</f>
        <v>Yes</v>
      </c>
      <c r="AG14" s="473"/>
    </row>
    <row r="15" spans="2:33">
      <c r="B15" s="6"/>
      <c r="C15" s="226"/>
      <c r="D15" s="226" t="s">
        <v>132</v>
      </c>
      <c r="E15" s="292">
        <v>30</v>
      </c>
      <c r="F15" s="292">
        <v>92</v>
      </c>
      <c r="G15" s="292">
        <v>154</v>
      </c>
      <c r="H15" s="292">
        <v>154</v>
      </c>
      <c r="I15" s="292">
        <v>154</v>
      </c>
      <c r="J15" s="292">
        <v>154</v>
      </c>
      <c r="K15" s="292">
        <v>154</v>
      </c>
      <c r="L15" s="292">
        <v>154</v>
      </c>
      <c r="M15" s="610">
        <v>28</v>
      </c>
      <c r="N15" s="610">
        <v>0</v>
      </c>
      <c r="O15" s="610">
        <v>51.2</v>
      </c>
      <c r="P15" s="610">
        <v>72</v>
      </c>
      <c r="Q15" s="610">
        <v>93</v>
      </c>
      <c r="R15" s="503" t="str">
        <f t="shared" ref="R15:R20" si="5">IF($M15&lt;=$H15,"Yes","No")</f>
        <v>Yes</v>
      </c>
      <c r="S15" s="503"/>
      <c r="T15" s="503"/>
      <c r="U15" s="503" t="str">
        <f t="shared" ref="U15:U20" si="6">IF($N15="N/A","N/A",IF($N15&lt;=I15,"Yes","No"))</f>
        <v>Yes</v>
      </c>
      <c r="V15" s="503"/>
      <c r="W15" s="503"/>
      <c r="X15" s="503" t="str">
        <f t="shared" ref="X15:X20" si="7">IF($O15="N/A","N/A",IF($O15&lt;=J15,"Yes","No"))</f>
        <v>Yes</v>
      </c>
      <c r="Y15" s="503"/>
      <c r="Z15" s="503"/>
      <c r="AA15" s="503" t="str">
        <f t="shared" ref="AA15:AA20" si="8">IF($P15="N/A","N/A",IF($P15&lt;=K15,"Yes","No"))</f>
        <v>Yes</v>
      </c>
      <c r="AB15" s="503"/>
      <c r="AC15" s="503"/>
      <c r="AD15" s="503" t="str">
        <f t="shared" ref="AD15:AD20" si="9">IF($Q15="N/A","N/A",IF($Q15&lt;=L15,"Yes","No"))</f>
        <v>Yes</v>
      </c>
      <c r="AE15" s="503"/>
      <c r="AF15" s="503"/>
      <c r="AG15" s="7"/>
    </row>
    <row r="16" spans="2:33">
      <c r="B16" s="6"/>
      <c r="C16" s="39"/>
      <c r="D16" s="39" t="s">
        <v>133</v>
      </c>
      <c r="E16" s="293">
        <v>36</v>
      </c>
      <c r="F16" s="293">
        <v>61</v>
      </c>
      <c r="G16" s="293">
        <v>86</v>
      </c>
      <c r="H16" s="293">
        <v>86</v>
      </c>
      <c r="I16" s="293">
        <v>86</v>
      </c>
      <c r="J16" s="293">
        <v>86</v>
      </c>
      <c r="K16" s="293">
        <v>86</v>
      </c>
      <c r="L16" s="293">
        <v>86</v>
      </c>
      <c r="M16" s="611">
        <v>89.2</v>
      </c>
      <c r="N16" s="611">
        <v>77.599999999999994</v>
      </c>
      <c r="O16" s="611">
        <v>60.363636363636367</v>
      </c>
      <c r="P16" s="611">
        <v>47.3</v>
      </c>
      <c r="Q16" s="611">
        <v>70.692307692307693</v>
      </c>
      <c r="R16" s="504" t="str">
        <f t="shared" si="5"/>
        <v>No</v>
      </c>
      <c r="S16" s="504"/>
      <c r="T16" s="504"/>
      <c r="U16" s="504" t="str">
        <f t="shared" si="6"/>
        <v>Yes</v>
      </c>
      <c r="V16" s="504"/>
      <c r="W16" s="504"/>
      <c r="X16" s="504" t="str">
        <f t="shared" si="7"/>
        <v>Yes</v>
      </c>
      <c r="Y16" s="504"/>
      <c r="Z16" s="504"/>
      <c r="AA16" s="504" t="str">
        <f t="shared" si="8"/>
        <v>Yes</v>
      </c>
      <c r="AB16" s="504"/>
      <c r="AC16" s="504"/>
      <c r="AD16" s="504" t="str">
        <f t="shared" si="9"/>
        <v>Yes</v>
      </c>
      <c r="AE16" s="504"/>
      <c r="AF16" s="513"/>
      <c r="AG16" s="7"/>
    </row>
    <row r="17" spans="2:33">
      <c r="B17" s="6"/>
      <c r="C17" s="226"/>
      <c r="D17" s="226" t="s">
        <v>134</v>
      </c>
      <c r="E17" s="294">
        <v>0</v>
      </c>
      <c r="F17" s="294">
        <v>103</v>
      </c>
      <c r="G17" s="294">
        <v>206</v>
      </c>
      <c r="H17" s="294">
        <v>206</v>
      </c>
      <c r="I17" s="294">
        <v>206</v>
      </c>
      <c r="J17" s="294">
        <v>206</v>
      </c>
      <c r="K17" s="294">
        <v>206</v>
      </c>
      <c r="L17" s="294">
        <v>206</v>
      </c>
      <c r="M17" s="612">
        <v>87.1</v>
      </c>
      <c r="N17" s="612">
        <v>62</v>
      </c>
      <c r="O17" s="612">
        <v>36</v>
      </c>
      <c r="P17" s="612">
        <v>20.5</v>
      </c>
      <c r="Q17" s="612">
        <v>37.666666666666664</v>
      </c>
      <c r="R17" s="505" t="str">
        <f t="shared" si="5"/>
        <v>Yes</v>
      </c>
      <c r="S17" s="505"/>
      <c r="T17" s="505"/>
      <c r="U17" s="505" t="str">
        <f t="shared" si="6"/>
        <v>Yes</v>
      </c>
      <c r="V17" s="505"/>
      <c r="W17" s="505"/>
      <c r="X17" s="505" t="str">
        <f t="shared" si="7"/>
        <v>Yes</v>
      </c>
      <c r="Y17" s="505"/>
      <c r="Z17" s="505"/>
      <c r="AA17" s="505" t="str">
        <f t="shared" si="8"/>
        <v>Yes</v>
      </c>
      <c r="AB17" s="505"/>
      <c r="AC17" s="505"/>
      <c r="AD17" s="505" t="str">
        <f t="shared" si="9"/>
        <v>Yes</v>
      </c>
      <c r="AE17" s="505"/>
      <c r="AF17" s="505"/>
      <c r="AG17" s="7"/>
    </row>
    <row r="18" spans="2:33">
      <c r="B18" s="6"/>
      <c r="C18" s="39"/>
      <c r="D18" s="39" t="s">
        <v>135</v>
      </c>
      <c r="E18" s="293">
        <v>0</v>
      </c>
      <c r="F18" s="293">
        <v>140</v>
      </c>
      <c r="G18" s="293">
        <v>280</v>
      </c>
      <c r="H18" s="293">
        <v>280</v>
      </c>
      <c r="I18" s="293">
        <v>280</v>
      </c>
      <c r="J18" s="293">
        <v>280</v>
      </c>
      <c r="K18" s="293">
        <v>280</v>
      </c>
      <c r="L18" s="293">
        <v>280</v>
      </c>
      <c r="M18" s="611">
        <v>85.5</v>
      </c>
      <c r="N18" s="611">
        <v>114.3</v>
      </c>
      <c r="O18" s="611">
        <v>68.125</v>
      </c>
      <c r="P18" s="611">
        <v>102.75</v>
      </c>
      <c r="Q18" s="611">
        <v>59.2</v>
      </c>
      <c r="R18" s="504" t="str">
        <f t="shared" si="5"/>
        <v>Yes</v>
      </c>
      <c r="S18" s="504"/>
      <c r="T18" s="504"/>
      <c r="U18" s="504" t="str">
        <f t="shared" si="6"/>
        <v>Yes</v>
      </c>
      <c r="V18" s="504"/>
      <c r="W18" s="504"/>
      <c r="X18" s="504" t="str">
        <f t="shared" si="7"/>
        <v>Yes</v>
      </c>
      <c r="Y18" s="504"/>
      <c r="Z18" s="504"/>
      <c r="AA18" s="504" t="str">
        <f t="shared" si="8"/>
        <v>Yes</v>
      </c>
      <c r="AB18" s="504"/>
      <c r="AC18" s="504"/>
      <c r="AD18" s="504" t="str">
        <f t="shared" si="9"/>
        <v>Yes</v>
      </c>
      <c r="AE18" s="504"/>
      <c r="AF18" s="513"/>
      <c r="AG18" s="7"/>
    </row>
    <row r="19" spans="2:33">
      <c r="B19" s="6"/>
      <c r="C19" s="226"/>
      <c r="D19" s="226" t="s">
        <v>136</v>
      </c>
      <c r="E19" s="294">
        <v>50</v>
      </c>
      <c r="F19" s="294">
        <v>174</v>
      </c>
      <c r="G19" s="294">
        <v>298</v>
      </c>
      <c r="H19" s="294">
        <v>298</v>
      </c>
      <c r="I19" s="294">
        <v>298</v>
      </c>
      <c r="J19" s="294">
        <v>298</v>
      </c>
      <c r="K19" s="294">
        <v>298</v>
      </c>
      <c r="L19" s="294">
        <v>298</v>
      </c>
      <c r="M19" s="612">
        <v>131.19999999999999</v>
      </c>
      <c r="N19" s="612">
        <v>324.89999999999998</v>
      </c>
      <c r="O19" s="612">
        <v>1140</v>
      </c>
      <c r="P19" s="612">
        <v>142</v>
      </c>
      <c r="Q19" s="612">
        <v>211.66666666666666</v>
      </c>
      <c r="R19" s="505" t="str">
        <f t="shared" si="5"/>
        <v>Yes</v>
      </c>
      <c r="S19" s="505"/>
      <c r="T19" s="505"/>
      <c r="U19" s="505" t="str">
        <f t="shared" si="6"/>
        <v>No</v>
      </c>
      <c r="V19" s="505"/>
      <c r="W19" s="505"/>
      <c r="X19" s="505" t="str">
        <f t="shared" si="7"/>
        <v>No</v>
      </c>
      <c r="Y19" s="505"/>
      <c r="Z19" s="505"/>
      <c r="AA19" s="505" t="str">
        <f t="shared" si="8"/>
        <v>Yes</v>
      </c>
      <c r="AB19" s="505"/>
      <c r="AC19" s="505"/>
      <c r="AD19" s="505" t="str">
        <f t="shared" si="9"/>
        <v>Yes</v>
      </c>
      <c r="AE19" s="505"/>
      <c r="AF19" s="505"/>
      <c r="AG19" s="7"/>
    </row>
    <row r="20" spans="2:33">
      <c r="B20" s="6"/>
      <c r="C20" s="282"/>
      <c r="D20" s="282" t="s">
        <v>137</v>
      </c>
      <c r="E20" s="296">
        <v>11</v>
      </c>
      <c r="F20" s="296">
        <v>93</v>
      </c>
      <c r="G20" s="296">
        <v>175</v>
      </c>
      <c r="H20" s="296">
        <v>175</v>
      </c>
      <c r="I20" s="296">
        <v>175</v>
      </c>
      <c r="J20" s="296">
        <v>175</v>
      </c>
      <c r="K20" s="296">
        <v>175</v>
      </c>
      <c r="L20" s="296">
        <v>175</v>
      </c>
      <c r="M20" s="613">
        <v>43</v>
      </c>
      <c r="N20" s="613">
        <v>72.8</v>
      </c>
      <c r="O20" s="613">
        <v>71.5</v>
      </c>
      <c r="P20" s="613">
        <v>263</v>
      </c>
      <c r="Q20" s="613">
        <v>11.166666666666666</v>
      </c>
      <c r="R20" s="506" t="str">
        <f t="shared" si="5"/>
        <v>Yes</v>
      </c>
      <c r="S20" s="506"/>
      <c r="T20" s="506"/>
      <c r="U20" s="506" t="str">
        <f t="shared" si="6"/>
        <v>Yes</v>
      </c>
      <c r="V20" s="506"/>
      <c r="W20" s="506"/>
      <c r="X20" s="506" t="str">
        <f t="shared" si="7"/>
        <v>Yes</v>
      </c>
      <c r="Y20" s="506"/>
      <c r="Z20" s="506"/>
      <c r="AA20" s="506" t="str">
        <f t="shared" si="8"/>
        <v>No</v>
      </c>
      <c r="AB20" s="506"/>
      <c r="AC20" s="506"/>
      <c r="AD20" s="506" t="str">
        <f t="shared" si="9"/>
        <v>Yes</v>
      </c>
      <c r="AE20" s="506"/>
      <c r="AF20" s="514"/>
      <c r="AG20" s="7"/>
    </row>
    <row r="21" spans="2:33">
      <c r="B21" s="6"/>
      <c r="C21" s="289" t="s">
        <v>140</v>
      </c>
      <c r="D21" s="290"/>
      <c r="E21" s="300"/>
      <c r="F21" s="300"/>
      <c r="G21" s="300"/>
      <c r="H21" s="300"/>
      <c r="I21" s="300"/>
      <c r="J21" s="300"/>
      <c r="K21" s="300"/>
      <c r="L21" s="300"/>
      <c r="M21" s="617"/>
      <c r="N21" s="508"/>
      <c r="O21" s="508"/>
      <c r="P21" s="508"/>
      <c r="Q21" s="508"/>
      <c r="R21" s="508"/>
      <c r="S21" s="508"/>
      <c r="T21" s="508"/>
      <c r="U21" s="508"/>
      <c r="V21" s="508"/>
      <c r="W21" s="508"/>
      <c r="X21" s="508"/>
      <c r="Y21" s="508"/>
      <c r="Z21" s="508"/>
      <c r="AA21" s="508"/>
      <c r="AB21" s="508"/>
      <c r="AC21" s="508"/>
      <c r="AD21" s="508"/>
      <c r="AE21" s="508"/>
      <c r="AF21" s="510"/>
      <c r="AG21" s="473"/>
    </row>
    <row r="22" spans="2:33">
      <c r="B22" s="6"/>
      <c r="C22" s="226"/>
      <c r="D22" s="226" t="s">
        <v>141</v>
      </c>
      <c r="E22" s="298">
        <v>0.99750000000000005</v>
      </c>
      <c r="F22" s="298">
        <v>0.98750000000000004</v>
      </c>
      <c r="G22" s="298">
        <v>0.97750000000000004</v>
      </c>
      <c r="H22" s="298">
        <v>0.96750000000000003</v>
      </c>
      <c r="I22" s="298">
        <v>0.96750000000000003</v>
      </c>
      <c r="J22" s="298">
        <v>0.96750000000000003</v>
      </c>
      <c r="K22" s="298">
        <v>0.96750000000000003</v>
      </c>
      <c r="L22" s="298">
        <v>0.96750000000000003</v>
      </c>
      <c r="M22" s="614">
        <v>0.98670000000000002</v>
      </c>
      <c r="N22" s="614">
        <v>0.9718</v>
      </c>
      <c r="O22" s="614">
        <v>0.97889999999999999</v>
      </c>
      <c r="P22" s="614">
        <v>0.96989999999999998</v>
      </c>
      <c r="Q22" s="614">
        <v>0.97489999999999999</v>
      </c>
      <c r="R22" s="515"/>
      <c r="S22" s="515"/>
      <c r="T22" s="515" t="str">
        <f>IF(M22&gt;H22,"Yes","No")</f>
        <v>Yes</v>
      </c>
      <c r="U22" s="515"/>
      <c r="V22" s="515"/>
      <c r="W22" s="515" t="str">
        <f>IF(N22="N/A","N/A",IF(N22&gt;I22,"Yes","No"))</f>
        <v>Yes</v>
      </c>
      <c r="X22" s="515"/>
      <c r="Y22" s="515"/>
      <c r="Z22" s="515" t="str">
        <f>IF(O22="N/A","N/A",IF(O22&gt;J22,"Yes","No"))</f>
        <v>Yes</v>
      </c>
      <c r="AA22" s="515"/>
      <c r="AB22" s="515"/>
      <c r="AC22" s="515" t="str">
        <f>IF(P22="N/A","N/A",IF(P22&gt;K22,"Yes","No"))</f>
        <v>Yes</v>
      </c>
      <c r="AD22" s="515"/>
      <c r="AE22" s="515"/>
      <c r="AF22" s="515" t="str">
        <f>IF(Q22="N/A","N/A",IF(Q22&gt;L22,"Yes","No"))</f>
        <v>Yes</v>
      </c>
      <c r="AG22" s="7"/>
    </row>
    <row r="23" spans="2:33">
      <c r="B23" s="6"/>
      <c r="C23" s="289" t="s">
        <v>142</v>
      </c>
      <c r="D23" s="290"/>
      <c r="E23" s="300"/>
      <c r="F23" s="300"/>
      <c r="G23" s="300"/>
      <c r="H23" s="300"/>
      <c r="I23" s="300"/>
      <c r="J23" s="300"/>
      <c r="K23" s="300"/>
      <c r="L23" s="300"/>
      <c r="M23" s="617"/>
      <c r="N23" s="508"/>
      <c r="O23" s="508"/>
      <c r="P23" s="508"/>
      <c r="Q23" s="508"/>
      <c r="R23" s="508"/>
      <c r="S23" s="508"/>
      <c r="T23" s="508"/>
      <c r="U23" s="508"/>
      <c r="V23" s="508"/>
      <c r="W23" s="508"/>
      <c r="X23" s="508"/>
      <c r="Y23" s="508"/>
      <c r="Z23" s="508"/>
      <c r="AA23" s="508"/>
      <c r="AB23" s="508"/>
      <c r="AC23" s="508"/>
      <c r="AD23" s="508"/>
      <c r="AE23" s="508"/>
      <c r="AF23" s="510"/>
      <c r="AG23" s="473"/>
    </row>
    <row r="24" spans="2:33">
      <c r="B24" s="6"/>
      <c r="C24" s="474"/>
      <c r="D24" s="474" t="s">
        <v>143</v>
      </c>
      <c r="E24" s="475">
        <v>0.99199999999999999</v>
      </c>
      <c r="F24" s="475">
        <v>0.99</v>
      </c>
      <c r="G24" s="475">
        <v>0.98799999999999999</v>
      </c>
      <c r="H24" s="475">
        <v>0.98599999999999999</v>
      </c>
      <c r="I24" s="475">
        <v>0.98599999999999999</v>
      </c>
      <c r="J24" s="475">
        <v>0.98599999999999999</v>
      </c>
      <c r="K24" s="475">
        <v>0.98599999999999999</v>
      </c>
      <c r="L24" s="475">
        <v>0.98599999999999999</v>
      </c>
      <c r="M24" s="614">
        <v>0.98829999999999996</v>
      </c>
      <c r="N24" s="614">
        <v>0.98319999999999996</v>
      </c>
      <c r="O24" s="614">
        <v>0.98960000000000004</v>
      </c>
      <c r="P24" s="614">
        <v>0.98829999999999996</v>
      </c>
      <c r="Q24" s="614">
        <v>0.98680000000000001</v>
      </c>
      <c r="R24" s="516"/>
      <c r="S24" s="516"/>
      <c r="T24" s="516" t="str">
        <f>IF(M24&gt;H24,"Yes","No")</f>
        <v>Yes</v>
      </c>
      <c r="U24" s="516"/>
      <c r="V24" s="516"/>
      <c r="W24" s="515" t="str">
        <f>IF(N24="N/A","N/A",IF(N24&gt;I24,"Yes","No"))</f>
        <v>No</v>
      </c>
      <c r="X24" s="515"/>
      <c r="Y24" s="515"/>
      <c r="Z24" s="515" t="str">
        <f>IF(O24="N/A","N/A",IF(O24&gt;J24,"Yes","No"))</f>
        <v>Yes</v>
      </c>
      <c r="AA24" s="515"/>
      <c r="AB24" s="515"/>
      <c r="AC24" s="515" t="str">
        <f>IF(P24="N/A","N/A",IF(P24&gt;K24,"Yes","No"))</f>
        <v>Yes</v>
      </c>
      <c r="AD24" s="515"/>
      <c r="AE24" s="515"/>
      <c r="AF24" s="515" t="str">
        <f>IF(Q24="N/A","N/A",IF(Q24&gt;L24,"Yes","No"))</f>
        <v>Yes</v>
      </c>
      <c r="AG24" s="7"/>
    </row>
    <row r="25" spans="2:33">
      <c r="B25" s="6"/>
      <c r="C25" s="289" t="s">
        <v>144</v>
      </c>
      <c r="D25" s="290"/>
      <c r="E25" s="300"/>
      <c r="F25" s="300"/>
      <c r="G25" s="300"/>
      <c r="H25" s="471"/>
      <c r="I25" s="471"/>
      <c r="J25" s="471"/>
      <c r="K25" s="471"/>
      <c r="L25" s="471"/>
      <c r="M25" s="617"/>
      <c r="N25" s="509"/>
      <c r="O25" s="509"/>
      <c r="P25" s="509"/>
      <c r="Q25" s="509"/>
      <c r="R25" s="507"/>
      <c r="S25" s="507"/>
      <c r="T25" s="507"/>
      <c r="U25" s="507"/>
      <c r="V25" s="507"/>
      <c r="W25" s="507"/>
      <c r="X25" s="507"/>
      <c r="Y25" s="507"/>
      <c r="Z25" s="507"/>
      <c r="AA25" s="507"/>
      <c r="AB25" s="507"/>
      <c r="AC25" s="507"/>
      <c r="AD25" s="507"/>
      <c r="AE25" s="507"/>
      <c r="AF25" s="512"/>
      <c r="AG25" s="473"/>
    </row>
    <row r="26" spans="2:33">
      <c r="B26" s="6"/>
      <c r="C26" s="474"/>
      <c r="D26" s="474" t="s">
        <v>145</v>
      </c>
      <c r="E26" s="475"/>
      <c r="F26" s="475"/>
      <c r="G26" s="475"/>
      <c r="H26" s="476">
        <v>3.2199999999999999E-2</v>
      </c>
      <c r="I26" s="476">
        <v>3.6799999999999999E-2</v>
      </c>
      <c r="J26" s="476">
        <v>5.3699999999999998E-2</v>
      </c>
      <c r="K26" s="476">
        <v>8.6500000000000007E-2</v>
      </c>
      <c r="L26" s="476">
        <v>0.12029999999999999</v>
      </c>
      <c r="M26" s="615">
        <v>1.9699999999999999E-2</v>
      </c>
      <c r="N26" s="615">
        <v>3.4599999999999999E-2</v>
      </c>
      <c r="O26" s="615">
        <v>3.1800000000000002E-2</v>
      </c>
      <c r="P26" s="615">
        <v>4.2099999999999999E-2</v>
      </c>
      <c r="Q26" s="615">
        <v>4.8899999999999999E-2</v>
      </c>
      <c r="R26" s="517"/>
      <c r="S26" s="517"/>
      <c r="T26" s="517" t="str">
        <f>IF(M26&lt;=H26,"Yes","No")</f>
        <v>Yes</v>
      </c>
      <c r="U26" s="517"/>
      <c r="V26" s="517"/>
      <c r="W26" s="517" t="str">
        <f t="shared" ref="W26:W27" si="10">IF(N26="N/A","N/A",IF(N26&lt;=I26,"Yes","No"))</f>
        <v>Yes</v>
      </c>
      <c r="X26" s="517"/>
      <c r="Y26" s="517"/>
      <c r="Z26" s="517" t="str">
        <f t="shared" ref="Z26:Z27" si="11">IF(O26="N/A","N/A",IF(O26&lt;=J26,"Yes","No"))</f>
        <v>Yes</v>
      </c>
      <c r="AA26" s="517"/>
      <c r="AB26" s="517"/>
      <c r="AC26" s="517" t="str">
        <f t="shared" ref="AC26:AC27" si="12">IF(P26="N/A","N/A",IF(P26&lt;=K26,"Yes","No"))</f>
        <v>Yes</v>
      </c>
      <c r="AD26" s="517"/>
      <c r="AE26" s="517"/>
      <c r="AF26" s="517" t="str">
        <f t="shared" ref="AF26:AF27" si="13">IF(Q26="N/A","N/A",IF(Q26&lt;=L26,"Yes","No"))</f>
        <v>Yes</v>
      </c>
      <c r="AG26" s="7"/>
    </row>
    <row r="27" spans="2:33">
      <c r="B27" s="6"/>
      <c r="C27" s="477"/>
      <c r="D27" s="477" t="s">
        <v>146</v>
      </c>
      <c r="E27" s="478"/>
      <c r="F27" s="478"/>
      <c r="G27" s="478"/>
      <c r="H27" s="479">
        <v>0.02</v>
      </c>
      <c r="I27" s="479">
        <v>2.3700000000000002E-2</v>
      </c>
      <c r="J27" s="479">
        <v>5.6500000000000002E-2</v>
      </c>
      <c r="K27" s="479">
        <v>7.6299999999999993E-2</v>
      </c>
      <c r="L27" s="479">
        <v>8.2699999999999996E-2</v>
      </c>
      <c r="M27" s="616">
        <v>1.09E-2</v>
      </c>
      <c r="N27" s="616">
        <v>9.5999999999999992E-3</v>
      </c>
      <c r="O27" s="616">
        <v>3.7000000000000002E-3</v>
      </c>
      <c r="P27" s="646">
        <v>3.7000000000000002E-3</v>
      </c>
      <c r="Q27" s="616">
        <v>3.0000000000000001E-3</v>
      </c>
      <c r="R27" s="518"/>
      <c r="S27" s="518"/>
      <c r="T27" s="518" t="str">
        <f>IF(M27&lt;=H27,"Yes","No")</f>
        <v>Yes</v>
      </c>
      <c r="U27" s="518"/>
      <c r="V27" s="518"/>
      <c r="W27" s="518" t="str">
        <f t="shared" si="10"/>
        <v>Yes</v>
      </c>
      <c r="X27" s="518"/>
      <c r="Y27" s="518"/>
      <c r="Z27" s="518" t="str">
        <f t="shared" si="11"/>
        <v>Yes</v>
      </c>
      <c r="AA27" s="518"/>
      <c r="AB27" s="518"/>
      <c r="AC27" s="518" t="str">
        <f t="shared" si="12"/>
        <v>Yes</v>
      </c>
      <c r="AD27" s="518"/>
      <c r="AE27" s="518"/>
      <c r="AF27" s="518" t="str">
        <f t="shared" si="13"/>
        <v>Yes</v>
      </c>
      <c r="AG27" s="7"/>
    </row>
    <row r="28" spans="2:33">
      <c r="B28" s="6"/>
      <c r="C28" s="403"/>
      <c r="AG28" s="7"/>
    </row>
    <row r="29" spans="2:33">
      <c r="B29" s="736" t="s">
        <v>147</v>
      </c>
      <c r="C29" s="712"/>
      <c r="D29" s="712"/>
      <c r="E29" s="712"/>
      <c r="F29" s="712"/>
      <c r="G29" s="712"/>
      <c r="H29" s="712"/>
      <c r="I29" s="712"/>
      <c r="J29" s="712"/>
      <c r="K29" s="712"/>
      <c r="L29" s="712"/>
      <c r="M29" s="712"/>
      <c r="N29" s="548"/>
      <c r="AG29" s="7"/>
    </row>
    <row r="30" spans="2:33" ht="15" customHeight="1">
      <c r="B30" s="737"/>
      <c r="C30" s="712"/>
      <c r="D30" s="712"/>
      <c r="E30" s="712"/>
      <c r="F30" s="712"/>
      <c r="G30" s="712"/>
      <c r="H30" s="712"/>
      <c r="I30" s="712"/>
      <c r="J30" s="712"/>
      <c r="K30" s="712"/>
      <c r="L30" s="712"/>
      <c r="M30" s="712"/>
      <c r="AG30" s="7"/>
    </row>
    <row r="31" spans="2:33">
      <c r="B31" s="6" t="s">
        <v>148</v>
      </c>
      <c r="C31" s="403"/>
      <c r="AG31" s="7"/>
    </row>
    <row r="32" spans="2:33" ht="280.5" customHeight="1">
      <c r="B32" s="6"/>
      <c r="C32" s="738" t="s">
        <v>892</v>
      </c>
      <c r="D32" s="734"/>
      <c r="E32" s="734"/>
      <c r="F32" s="734"/>
      <c r="G32" s="734"/>
      <c r="H32" s="734"/>
      <c r="I32" s="734"/>
      <c r="J32" s="735"/>
      <c r="K32" s="626"/>
      <c r="L32" s="814" t="s">
        <v>902</v>
      </c>
      <c r="M32" s="815"/>
      <c r="N32" s="815"/>
      <c r="O32" s="815"/>
      <c r="P32" s="815"/>
      <c r="Q32" s="815"/>
      <c r="R32" s="815"/>
      <c r="S32" s="815"/>
      <c r="T32" s="815"/>
      <c r="U32" s="815"/>
      <c r="V32" s="815"/>
      <c r="W32" s="815"/>
      <c r="X32" s="815"/>
      <c r="Y32" s="816"/>
      <c r="AG32" s="7"/>
    </row>
    <row r="33" spans="2:33">
      <c r="B33" s="736" t="s">
        <v>149</v>
      </c>
      <c r="C33" s="712"/>
      <c r="D33" s="712"/>
      <c r="E33" s="712"/>
      <c r="F33" s="712"/>
      <c r="G33" s="712"/>
      <c r="H33" s="712"/>
      <c r="I33" s="712"/>
      <c r="J33" s="712"/>
      <c r="K33" s="712"/>
      <c r="L33" s="712"/>
      <c r="M33" s="712"/>
      <c r="AG33" s="7"/>
    </row>
    <row r="34" spans="2:33">
      <c r="B34" s="737"/>
      <c r="C34" s="712"/>
      <c r="D34" s="712"/>
      <c r="E34" s="712"/>
      <c r="F34" s="712"/>
      <c r="G34" s="712"/>
      <c r="H34" s="712"/>
      <c r="I34" s="712"/>
      <c r="J34" s="712"/>
      <c r="K34" s="712"/>
      <c r="L34" s="712"/>
      <c r="M34" s="712"/>
      <c r="AG34" s="7"/>
    </row>
    <row r="35" spans="2:33">
      <c r="B35" s="6" t="s">
        <v>150</v>
      </c>
      <c r="C35" s="403"/>
      <c r="AG35" s="7"/>
    </row>
    <row r="36" spans="2:33" ht="19.5" customHeight="1">
      <c r="B36" s="6"/>
      <c r="C36" s="733" t="s">
        <v>893</v>
      </c>
      <c r="D36" s="734"/>
      <c r="E36" s="734"/>
      <c r="F36" s="734"/>
      <c r="G36" s="734"/>
      <c r="H36" s="734"/>
      <c r="I36" s="734"/>
      <c r="J36" s="735"/>
      <c r="AG36" s="7"/>
    </row>
    <row r="37" spans="2:33">
      <c r="B37" s="736" t="s">
        <v>152</v>
      </c>
      <c r="C37" s="712"/>
      <c r="D37" s="712"/>
      <c r="E37" s="712"/>
      <c r="F37" s="712"/>
      <c r="G37" s="712"/>
      <c r="H37" s="712"/>
      <c r="I37" s="712"/>
      <c r="J37" s="712"/>
      <c r="K37" s="712"/>
      <c r="L37" s="712"/>
      <c r="M37" s="712"/>
      <c r="AG37" s="7"/>
    </row>
    <row r="38" spans="2:33" ht="12.75" customHeight="1">
      <c r="B38" s="737"/>
      <c r="C38" s="712"/>
      <c r="D38" s="712"/>
      <c r="E38" s="712"/>
      <c r="F38" s="712"/>
      <c r="G38" s="712"/>
      <c r="H38" s="712"/>
      <c r="I38" s="712"/>
      <c r="J38" s="712"/>
      <c r="K38" s="712"/>
      <c r="L38" s="712"/>
      <c r="M38" s="712"/>
      <c r="AG38" s="7"/>
    </row>
    <row r="39" spans="2:33">
      <c r="B39" s="6" t="s">
        <v>153</v>
      </c>
      <c r="C39" s="403"/>
      <c r="AG39" s="7"/>
    </row>
    <row r="40" spans="2:33" ht="15.75" customHeight="1">
      <c r="B40" s="6"/>
      <c r="C40" s="733" t="s">
        <v>893</v>
      </c>
      <c r="D40" s="734"/>
      <c r="E40" s="734"/>
      <c r="F40" s="734"/>
      <c r="G40" s="734"/>
      <c r="H40" s="734"/>
      <c r="I40" s="734"/>
      <c r="J40" s="735"/>
      <c r="AG40" s="7"/>
    </row>
    <row r="41" spans="2:33">
      <c r="B41" s="736" t="s">
        <v>154</v>
      </c>
      <c r="C41" s="712"/>
      <c r="D41" s="712"/>
      <c r="E41" s="712"/>
      <c r="F41" s="712"/>
      <c r="G41" s="712"/>
      <c r="H41" s="712"/>
      <c r="I41" s="712"/>
      <c r="J41" s="712"/>
      <c r="K41" s="712"/>
      <c r="L41" s="712"/>
      <c r="M41" s="712"/>
      <c r="AG41" s="7"/>
    </row>
    <row r="42" spans="2:33" ht="12.75" customHeight="1">
      <c r="B42" s="737"/>
      <c r="C42" s="712"/>
      <c r="D42" s="712"/>
      <c r="E42" s="712"/>
      <c r="F42" s="712"/>
      <c r="G42" s="712"/>
      <c r="H42" s="712"/>
      <c r="I42" s="712"/>
      <c r="J42" s="712"/>
      <c r="K42" s="712"/>
      <c r="L42" s="712"/>
      <c r="M42" s="712"/>
      <c r="AG42" s="7"/>
    </row>
    <row r="43" spans="2:33" ht="62.25" customHeight="1">
      <c r="B43" s="717" t="s">
        <v>155</v>
      </c>
      <c r="C43" s="739"/>
      <c r="D43" s="739"/>
      <c r="E43" s="739"/>
      <c r="F43" s="739"/>
      <c r="G43" s="739"/>
      <c r="H43" s="739"/>
      <c r="I43" s="739"/>
      <c r="J43" s="739"/>
      <c r="AG43" s="7"/>
    </row>
    <row r="44" spans="2:33" ht="18" customHeight="1">
      <c r="B44" s="6"/>
      <c r="C44" s="733" t="s">
        <v>156</v>
      </c>
      <c r="D44" s="734"/>
      <c r="E44" s="734"/>
      <c r="F44" s="734"/>
      <c r="G44" s="734"/>
      <c r="H44" s="734"/>
      <c r="I44" s="734"/>
      <c r="J44" s="735"/>
      <c r="AG44" s="7"/>
    </row>
    <row r="45" spans="2:33" ht="48" customHeight="1">
      <c r="B45" s="717" t="s">
        <v>157</v>
      </c>
      <c r="C45" s="739"/>
      <c r="D45" s="739"/>
      <c r="E45" s="739"/>
      <c r="F45" s="739"/>
      <c r="G45" s="739"/>
      <c r="H45" s="739"/>
      <c r="I45" s="739"/>
      <c r="J45" s="739"/>
      <c r="AG45" s="7"/>
    </row>
    <row r="46" spans="2:33" ht="16.5" customHeight="1">
      <c r="B46" s="6"/>
      <c r="C46" s="733" t="s">
        <v>158</v>
      </c>
      <c r="D46" s="734"/>
      <c r="E46" s="734"/>
      <c r="F46" s="734"/>
      <c r="G46" s="734"/>
      <c r="H46" s="734"/>
      <c r="I46" s="734"/>
      <c r="J46" s="735"/>
      <c r="AG46" s="7"/>
    </row>
    <row r="47" spans="2:33" ht="48" customHeight="1">
      <c r="B47" s="717" t="s">
        <v>159</v>
      </c>
      <c r="C47" s="739"/>
      <c r="D47" s="739"/>
      <c r="E47" s="739"/>
      <c r="F47" s="739"/>
      <c r="G47" s="739"/>
      <c r="H47" s="739"/>
      <c r="I47" s="739"/>
      <c r="J47" s="739"/>
      <c r="AG47" s="7"/>
    </row>
    <row r="48" spans="2:33" ht="16.5" customHeight="1">
      <c r="B48" s="6"/>
      <c r="C48" s="733" t="s">
        <v>160</v>
      </c>
      <c r="D48" s="734"/>
      <c r="E48" s="734"/>
      <c r="F48" s="734"/>
      <c r="G48" s="734"/>
      <c r="H48" s="734"/>
      <c r="I48" s="734"/>
      <c r="J48" s="735"/>
      <c r="AG48" s="7"/>
    </row>
    <row r="49" spans="2:33" ht="48" customHeight="1">
      <c r="B49" s="717" t="s">
        <v>161</v>
      </c>
      <c r="C49" s="739"/>
      <c r="D49" s="739"/>
      <c r="E49" s="739"/>
      <c r="F49" s="739"/>
      <c r="G49" s="739"/>
      <c r="H49" s="739"/>
      <c r="I49" s="739"/>
      <c r="J49" s="739"/>
      <c r="AG49" s="7"/>
    </row>
    <row r="50" spans="2:33" ht="16.5" customHeight="1">
      <c r="B50" s="6"/>
      <c r="C50" s="733" t="s">
        <v>900</v>
      </c>
      <c r="D50" s="734"/>
      <c r="E50" s="734"/>
      <c r="F50" s="734"/>
      <c r="G50" s="734"/>
      <c r="H50" s="734"/>
      <c r="I50" s="734"/>
      <c r="J50" s="735"/>
      <c r="AG50" s="7"/>
    </row>
    <row r="51" spans="2:33" ht="32.25" customHeight="1">
      <c r="B51" s="717" t="s">
        <v>163</v>
      </c>
      <c r="C51" s="739"/>
      <c r="D51" s="739"/>
      <c r="E51" s="739"/>
      <c r="F51" s="739"/>
      <c r="G51" s="739"/>
      <c r="H51" s="739"/>
      <c r="I51" s="739"/>
      <c r="J51" s="739"/>
      <c r="AG51" s="7"/>
    </row>
    <row r="52" spans="2:33" ht="15.75" customHeight="1">
      <c r="B52" s="6"/>
      <c r="C52" s="733" t="s">
        <v>164</v>
      </c>
      <c r="D52" s="734"/>
      <c r="E52" s="734"/>
      <c r="F52" s="734"/>
      <c r="G52" s="734"/>
      <c r="H52" s="734"/>
      <c r="I52" s="734"/>
      <c r="J52" s="735"/>
      <c r="AG52" s="7"/>
    </row>
    <row r="53" spans="2:33">
      <c r="B53" s="9"/>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23"/>
    </row>
    <row r="54" spans="2:33">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row>
  </sheetData>
  <autoFilter ref="C5:AF27" xr:uid="{C344C3CE-2CE0-472B-98D1-359D1C73F3BA}">
    <filterColumn colId="0" showButton="0"/>
  </autoFilter>
  <mergeCells count="20">
    <mergeCell ref="C44:J44"/>
    <mergeCell ref="B2:F2"/>
    <mergeCell ref="C5:D5"/>
    <mergeCell ref="B29:M30"/>
    <mergeCell ref="C32:J32"/>
    <mergeCell ref="L32:Y32"/>
    <mergeCell ref="B33:M34"/>
    <mergeCell ref="C36:J36"/>
    <mergeCell ref="B37:M38"/>
    <mergeCell ref="C40:J40"/>
    <mergeCell ref="B41:M42"/>
    <mergeCell ref="B43:J43"/>
    <mergeCell ref="B51:J51"/>
    <mergeCell ref="C52:J52"/>
    <mergeCell ref="B45:J45"/>
    <mergeCell ref="C46:J46"/>
    <mergeCell ref="B47:J47"/>
    <mergeCell ref="C48:J48"/>
    <mergeCell ref="B49:J49"/>
    <mergeCell ref="C50:J50"/>
  </mergeCells>
  <hyperlinks>
    <hyperlink ref="B2" location="Contents!A1" display="The Annual Compliance Statement " xr:uid="{AC0FE510-2241-45B2-BFE4-CDA845C660D3}"/>
    <hyperlink ref="B29" location="Contents!A1" display="A description and explanation of any voluntary revenue reduction Transpower has made in calculating the ex-post economic gain or loss for the disclosure year " xr:uid="{08BDF0A4-EC88-474D-8B05-1010ACF4D03C}"/>
    <hyperlink ref="B33" location="Contents!A1" display="A description and explanation of any voluntary revenue reduction Transpower has made in calculating the ex-post economic gain or loss for the disclosure year " xr:uid="{7280000A-8CA4-4716-AF06-13BC2387FCAB}"/>
    <hyperlink ref="B37" location="Contents!A1" display="A description and explanation of any voluntary revenue reduction Transpower has made in calculating the ex-post economic gain or loss for the disclosure year " xr:uid="{7E0D38E8-CA5F-430F-921F-6142A16E09D1}"/>
    <hyperlink ref="B41" location="Contents!A1" display="A description and explanation of any voluntary revenue reduction Transpower has made in calculating the ex-post economic gain or loss for the disclosure year " xr:uid="{2758F44E-005A-4ACF-98CA-25427C403034}"/>
  </hyperlinks>
  <pageMargins left="0.70866141732283472" right="0.70866141732283472" top="0.74803149606299213" bottom="0.74803149606299213" header="0.31496062992125984" footer="0.31496062992125984"/>
  <pageSetup paperSize="8" scale="42" orientation="landscape" r:id="rId1"/>
  <headerFooter>
    <oddFooter>&amp;L&amp;F&amp;C&amp;D&amp;RSheet: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C7753-D2E6-42C0-BFBB-9E3A6E030DD5}">
  <sheetPr codeName="Sheet3">
    <tabColor rgb="FFC00000"/>
    <pageSetUpPr fitToPage="1"/>
  </sheetPr>
  <dimension ref="B2:Z57"/>
  <sheetViews>
    <sheetView view="pageBreakPreview" zoomScale="85" zoomScaleNormal="100" zoomScaleSheetLayoutView="69" workbookViewId="0"/>
  </sheetViews>
  <sheetFormatPr defaultColWidth="9.140625" defaultRowHeight="15"/>
  <cols>
    <col min="1" max="1" width="9.140625" style="2"/>
    <col min="2" max="2" width="39.28515625" style="2" bestFit="1" customWidth="1"/>
    <col min="3" max="3" width="16.42578125" style="2" customWidth="1"/>
    <col min="4" max="4" width="3" style="2" customWidth="1"/>
    <col min="5" max="5" width="15" style="2" bestFit="1" customWidth="1"/>
    <col min="6" max="6" width="1.85546875" style="2" customWidth="1"/>
    <col min="7" max="11" width="9.140625" style="2"/>
    <col min="12" max="12" width="11.140625" style="2" customWidth="1"/>
    <col min="13" max="16384" width="9.140625" style="2"/>
  </cols>
  <sheetData>
    <row r="2" spans="2:15" ht="18.75">
      <c r="B2" s="375" t="s">
        <v>67</v>
      </c>
      <c r="C2" s="19"/>
      <c r="D2" s="4"/>
      <c r="E2" s="4"/>
      <c r="F2" s="4"/>
      <c r="G2" s="4"/>
      <c r="H2" s="4"/>
      <c r="I2" s="4"/>
      <c r="J2" s="4"/>
      <c r="K2" s="4"/>
      <c r="L2" s="5"/>
      <c r="N2" s="25"/>
    </row>
    <row r="3" spans="2:15">
      <c r="B3" s="6" t="s">
        <v>13</v>
      </c>
      <c r="L3" s="7"/>
      <c r="N3" s="25"/>
    </row>
    <row r="4" spans="2:15">
      <c r="B4" s="6"/>
      <c r="L4" s="7"/>
      <c r="N4" s="25"/>
    </row>
    <row r="5" spans="2:15">
      <c r="B5" s="402" t="s">
        <v>68</v>
      </c>
      <c r="C5" s="679">
        <v>45900</v>
      </c>
      <c r="L5" s="7"/>
      <c r="O5" s="624"/>
    </row>
    <row r="6" spans="2:15">
      <c r="B6" s="6"/>
      <c r="L6" s="7"/>
    </row>
    <row r="7" spans="2:15">
      <c r="B7" s="24" t="s">
        <v>70</v>
      </c>
      <c r="E7" s="25" t="s">
        <v>71</v>
      </c>
      <c r="G7" s="25" t="s">
        <v>11</v>
      </c>
      <c r="L7" s="7"/>
      <c r="O7" s="680"/>
    </row>
    <row r="8" spans="2:15">
      <c r="B8" s="6"/>
      <c r="L8" s="7"/>
      <c r="N8" s="624"/>
    </row>
    <row r="9" spans="2:15">
      <c r="B9" s="20" t="s">
        <v>72</v>
      </c>
      <c r="C9" s="21"/>
      <c r="E9" s="21" t="s">
        <v>73</v>
      </c>
      <c r="G9" s="7" t="s">
        <v>74</v>
      </c>
      <c r="L9" s="7"/>
    </row>
    <row r="10" spans="2:15">
      <c r="B10" s="26" t="s">
        <v>75</v>
      </c>
      <c r="C10" s="27"/>
      <c r="D10" s="13"/>
      <c r="E10" s="27" t="s">
        <v>73</v>
      </c>
      <c r="F10" s="13"/>
      <c r="G10" s="14" t="s">
        <v>74</v>
      </c>
      <c r="H10" s="13"/>
      <c r="I10" s="13"/>
      <c r="J10" s="13"/>
      <c r="K10" s="13"/>
      <c r="L10" s="14"/>
    </row>
    <row r="11" spans="2:15">
      <c r="B11" s="20" t="s">
        <v>76</v>
      </c>
      <c r="C11" s="21"/>
      <c r="E11" s="21" t="s">
        <v>73</v>
      </c>
      <c r="G11" s="7" t="s">
        <v>74</v>
      </c>
      <c r="L11" s="7"/>
      <c r="O11"/>
    </row>
    <row r="12" spans="2:15">
      <c r="B12" s="26" t="s">
        <v>77</v>
      </c>
      <c r="C12" s="27"/>
      <c r="D12" s="13"/>
      <c r="E12" s="27" t="s">
        <v>78</v>
      </c>
      <c r="F12" s="13"/>
      <c r="G12" s="14" t="s">
        <v>74</v>
      </c>
      <c r="H12" s="13"/>
      <c r="I12" s="13"/>
      <c r="J12" s="13"/>
      <c r="K12" s="13"/>
      <c r="L12" s="14"/>
      <c r="O12"/>
    </row>
    <row r="13" spans="2:15">
      <c r="B13" s="20" t="s">
        <v>79</v>
      </c>
      <c r="C13" s="21"/>
      <c r="E13" s="21" t="s">
        <v>73</v>
      </c>
      <c r="G13" s="7" t="s">
        <v>74</v>
      </c>
      <c r="L13" s="7"/>
      <c r="O13"/>
    </row>
    <row r="14" spans="2:15">
      <c r="B14" s="26" t="s">
        <v>80</v>
      </c>
      <c r="C14" s="27"/>
      <c r="D14" s="13"/>
      <c r="E14" s="27" t="s">
        <v>73</v>
      </c>
      <c r="F14" s="13"/>
      <c r="G14" s="14" t="s">
        <v>74</v>
      </c>
      <c r="H14" s="13"/>
      <c r="I14" s="13"/>
      <c r="J14" s="13"/>
      <c r="K14" s="13"/>
      <c r="L14" s="14"/>
      <c r="O14"/>
    </row>
    <row r="15" spans="2:15">
      <c r="B15" s="20" t="s">
        <v>81</v>
      </c>
      <c r="C15" s="21"/>
      <c r="E15" s="21" t="s">
        <v>73</v>
      </c>
      <c r="G15" s="7" t="s">
        <v>74</v>
      </c>
      <c r="L15" s="7"/>
      <c r="O15"/>
    </row>
    <row r="16" spans="2:15">
      <c r="B16" s="26" t="s">
        <v>82</v>
      </c>
      <c r="C16" s="27"/>
      <c r="D16" s="13"/>
      <c r="E16" s="27" t="s">
        <v>78</v>
      </c>
      <c r="F16" s="13"/>
      <c r="G16" s="14" t="s">
        <v>74</v>
      </c>
      <c r="H16" s="13"/>
      <c r="I16" s="13"/>
      <c r="J16" s="13"/>
      <c r="K16" s="13"/>
      <c r="L16" s="14"/>
      <c r="O16"/>
    </row>
    <row r="17" spans="2:26">
      <c r="B17" s="20" t="s">
        <v>83</v>
      </c>
      <c r="C17" s="21"/>
      <c r="E17" s="21" t="s">
        <v>78</v>
      </c>
      <c r="G17" s="7" t="s">
        <v>74</v>
      </c>
      <c r="L17" s="7"/>
      <c r="O17"/>
    </row>
    <row r="18" spans="2:26">
      <c r="B18" s="26" t="s">
        <v>84</v>
      </c>
      <c r="C18" s="27"/>
      <c r="D18" s="13"/>
      <c r="E18" s="27" t="s">
        <v>85</v>
      </c>
      <c r="F18" s="13"/>
      <c r="G18" s="14" t="s">
        <v>74</v>
      </c>
      <c r="H18" s="13"/>
      <c r="I18" s="13"/>
      <c r="J18" s="13"/>
      <c r="K18" s="13"/>
      <c r="L18" s="14"/>
      <c r="O18"/>
    </row>
    <row r="19" spans="2:26">
      <c r="B19" s="20" t="s">
        <v>86</v>
      </c>
      <c r="C19" s="21"/>
      <c r="E19" s="21" t="s">
        <v>78</v>
      </c>
      <c r="G19" s="7" t="s">
        <v>74</v>
      </c>
      <c r="L19" s="7"/>
    </row>
    <row r="20" spans="2:26">
      <c r="B20" s="20"/>
      <c r="C20" s="21"/>
      <c r="E20" s="21"/>
      <c r="L20" s="7"/>
    </row>
    <row r="21" spans="2:26" ht="80.25" customHeight="1">
      <c r="B21" s="720" t="s">
        <v>87</v>
      </c>
      <c r="C21" s="721"/>
      <c r="D21" s="13"/>
      <c r="E21" s="605" t="s">
        <v>78</v>
      </c>
      <c r="F21" s="13"/>
      <c r="G21" s="29" t="s">
        <v>88</v>
      </c>
      <c r="H21" s="13"/>
      <c r="I21" s="13"/>
      <c r="J21" s="13"/>
      <c r="K21" s="13"/>
      <c r="L21" s="14"/>
      <c r="O21" s="725"/>
      <c r="P21" s="725"/>
      <c r="Q21" s="725"/>
      <c r="R21" s="725"/>
      <c r="S21" s="725"/>
      <c r="T21" s="725"/>
      <c r="U21" s="725"/>
      <c r="V21" s="725"/>
      <c r="W21" s="725"/>
      <c r="X21" s="725"/>
      <c r="Y21" s="725"/>
      <c r="Z21" s="725"/>
    </row>
    <row r="22" spans="2:26" ht="15" customHeight="1">
      <c r="B22" s="20"/>
      <c r="C22" s="21"/>
      <c r="E22" s="606"/>
      <c r="L22" s="7"/>
      <c r="O22" s="726"/>
      <c r="P22" s="726"/>
      <c r="Q22" s="726"/>
      <c r="R22" s="726"/>
      <c r="S22" s="726"/>
      <c r="T22" s="726"/>
      <c r="U22" s="726"/>
      <c r="V22" s="726"/>
      <c r="W22" s="726"/>
      <c r="X22" s="726"/>
      <c r="Y22" s="726"/>
      <c r="Z22" s="726"/>
    </row>
    <row r="23" spans="2:26">
      <c r="B23" s="722" t="s">
        <v>89</v>
      </c>
      <c r="C23" s="712"/>
      <c r="E23" s="606" t="s">
        <v>78</v>
      </c>
      <c r="G23" s="18" t="s">
        <v>90</v>
      </c>
      <c r="L23" s="7"/>
      <c r="O23" s="726"/>
      <c r="P23" s="726"/>
      <c r="Q23" s="726"/>
      <c r="R23" s="726"/>
      <c r="S23" s="726"/>
      <c r="T23" s="726"/>
      <c r="U23" s="726"/>
      <c r="V23" s="726"/>
      <c r="W23" s="726"/>
      <c r="X23" s="726"/>
      <c r="Y23" s="726"/>
      <c r="Z23" s="726"/>
    </row>
    <row r="24" spans="2:26">
      <c r="B24" s="6"/>
      <c r="E24" s="606"/>
      <c r="L24" s="7"/>
      <c r="O24" s="726"/>
      <c r="P24" s="726"/>
      <c r="Q24" s="726"/>
      <c r="R24" s="726"/>
      <c r="S24" s="726"/>
      <c r="T24" s="726"/>
      <c r="U24" s="726"/>
      <c r="V24" s="726"/>
      <c r="W24" s="726"/>
      <c r="X24" s="726"/>
      <c r="Y24" s="726"/>
      <c r="Z24" s="726"/>
    </row>
    <row r="25" spans="2:26" ht="36" customHeight="1">
      <c r="B25" s="723" t="s">
        <v>91</v>
      </c>
      <c r="C25" s="724"/>
      <c r="D25" s="13"/>
      <c r="E25" s="605" t="s">
        <v>78</v>
      </c>
      <c r="F25" s="13"/>
      <c r="G25" s="29" t="s">
        <v>92</v>
      </c>
      <c r="H25" s="13"/>
      <c r="I25" s="13"/>
      <c r="J25" s="13"/>
      <c r="K25" s="13"/>
      <c r="L25" s="14"/>
      <c r="O25" s="726"/>
      <c r="P25" s="726"/>
      <c r="Q25" s="726"/>
      <c r="R25" s="726"/>
      <c r="S25" s="726"/>
      <c r="T25" s="726"/>
      <c r="U25" s="726"/>
      <c r="V25" s="726"/>
      <c r="W25" s="726"/>
      <c r="X25" s="726"/>
      <c r="Y25" s="726"/>
      <c r="Z25" s="726"/>
    </row>
    <row r="26" spans="2:26">
      <c r="B26" s="6"/>
      <c r="L26" s="7"/>
    </row>
    <row r="27" spans="2:26">
      <c r="B27" s="6"/>
      <c r="L27" s="7"/>
    </row>
    <row r="28" spans="2:26">
      <c r="B28" s="6"/>
      <c r="L28" s="7"/>
    </row>
    <row r="29" spans="2:26" ht="70.5" customHeight="1">
      <c r="B29" s="727" t="s">
        <v>93</v>
      </c>
      <c r="C29" s="728"/>
      <c r="D29" s="728"/>
      <c r="E29" s="728"/>
      <c r="F29" s="728"/>
      <c r="G29" s="728"/>
      <c r="H29" s="728"/>
      <c r="I29" s="728"/>
      <c r="J29" s="728"/>
      <c r="K29" s="728"/>
      <c r="L29" s="729"/>
    </row>
    <row r="30" spans="2:26">
      <c r="B30" s="6"/>
      <c r="L30" s="7"/>
    </row>
    <row r="31" spans="2:26">
      <c r="B31" s="730"/>
      <c r="C31" s="731"/>
      <c r="D31" s="731"/>
      <c r="E31" s="731"/>
      <c r="F31" s="731"/>
      <c r="G31" s="731"/>
      <c r="H31" s="731"/>
      <c r="I31" s="731"/>
      <c r="J31" s="731"/>
      <c r="K31" s="731"/>
      <c r="L31" s="732"/>
    </row>
    <row r="32" spans="2:26">
      <c r="B32" s="6"/>
      <c r="L32" s="7"/>
    </row>
    <row r="33" spans="2:12">
      <c r="B33" s="717"/>
      <c r="C33" s="718"/>
      <c r="D33" s="718"/>
      <c r="E33" s="718"/>
      <c r="F33" s="718"/>
      <c r="G33" s="718"/>
      <c r="H33" s="718"/>
      <c r="I33" s="718"/>
      <c r="J33" s="718"/>
      <c r="K33" s="718"/>
      <c r="L33" s="719"/>
    </row>
    <row r="34" spans="2:12">
      <c r="B34" s="717"/>
      <c r="C34" s="718"/>
      <c r="D34" s="718"/>
      <c r="E34" s="718"/>
      <c r="F34" s="718"/>
      <c r="G34" s="718"/>
      <c r="H34" s="718"/>
      <c r="I34" s="718"/>
      <c r="J34" s="718"/>
      <c r="K34" s="718"/>
      <c r="L34" s="719"/>
    </row>
    <row r="35" spans="2:12">
      <c r="B35" s="717"/>
      <c r="C35" s="718"/>
      <c r="D35" s="718"/>
      <c r="E35" s="718"/>
      <c r="F35" s="718"/>
      <c r="G35" s="718"/>
      <c r="H35" s="718"/>
      <c r="I35" s="718"/>
      <c r="J35" s="718"/>
      <c r="K35" s="718"/>
      <c r="L35" s="719"/>
    </row>
    <row r="36" spans="2:12">
      <c r="B36" s="717"/>
      <c r="C36" s="718"/>
      <c r="D36" s="718"/>
      <c r="E36" s="718"/>
      <c r="F36" s="718"/>
      <c r="G36" s="718"/>
      <c r="H36" s="718"/>
      <c r="I36" s="718"/>
      <c r="J36" s="718"/>
      <c r="K36" s="718"/>
      <c r="L36" s="719"/>
    </row>
    <row r="37" spans="2:12">
      <c r="B37" s="717"/>
      <c r="C37" s="718"/>
      <c r="D37" s="718"/>
      <c r="E37" s="718"/>
      <c r="F37" s="718"/>
      <c r="G37" s="718"/>
      <c r="H37" s="718"/>
      <c r="I37" s="718"/>
      <c r="J37" s="718"/>
      <c r="K37" s="718"/>
      <c r="L37" s="719"/>
    </row>
    <row r="38" spans="2:12">
      <c r="B38" s="717"/>
      <c r="C38" s="718"/>
      <c r="D38" s="718"/>
      <c r="E38" s="718"/>
      <c r="F38" s="718"/>
      <c r="G38" s="718"/>
      <c r="H38" s="718"/>
      <c r="I38" s="718"/>
      <c r="J38" s="718"/>
      <c r="K38" s="718"/>
      <c r="L38" s="719"/>
    </row>
    <row r="39" spans="2:12">
      <c r="B39" s="6"/>
      <c r="L39" s="7"/>
    </row>
    <row r="40" spans="2:12">
      <c r="B40" s="6"/>
      <c r="L40" s="7"/>
    </row>
    <row r="41" spans="2:12">
      <c r="L41" s="7"/>
    </row>
    <row r="42" spans="2:12">
      <c r="B42" s="6"/>
      <c r="L42" s="7"/>
    </row>
    <row r="43" spans="2:12">
      <c r="L43" s="7"/>
    </row>
    <row r="44" spans="2:12">
      <c r="B44" s="6"/>
      <c r="L44" s="7"/>
    </row>
    <row r="45" spans="2:12">
      <c r="B45" s="6"/>
      <c r="L45" s="7"/>
    </row>
    <row r="46" spans="2:12">
      <c r="L46" s="7"/>
    </row>
    <row r="47" spans="2:12">
      <c r="L47" s="7"/>
    </row>
    <row r="48" spans="2:12">
      <c r="L48" s="7"/>
    </row>
    <row r="49" spans="2:12">
      <c r="L49" s="7"/>
    </row>
    <row r="50" spans="2:12">
      <c r="L50" s="7"/>
    </row>
    <row r="51" spans="2:12">
      <c r="L51" s="7"/>
    </row>
    <row r="52" spans="2:12">
      <c r="L52" s="7"/>
    </row>
    <row r="53" spans="2:12">
      <c r="B53" s="6"/>
      <c r="L53" s="7"/>
    </row>
    <row r="54" spans="2:12">
      <c r="B54" s="6"/>
      <c r="L54" s="7"/>
    </row>
    <row r="55" spans="2:12">
      <c r="B55" s="6"/>
      <c r="L55" s="7"/>
    </row>
    <row r="56" spans="2:12">
      <c r="B56" s="6"/>
      <c r="L56" s="7"/>
    </row>
    <row r="57" spans="2:12">
      <c r="B57" s="9"/>
      <c r="C57" s="10"/>
      <c r="D57" s="10"/>
      <c r="E57" s="10"/>
      <c r="F57" s="10"/>
      <c r="G57" s="10"/>
      <c r="H57" s="10"/>
      <c r="I57" s="10"/>
      <c r="J57" s="10"/>
      <c r="K57" s="10"/>
      <c r="L57" s="23"/>
    </row>
  </sheetData>
  <mergeCells count="9">
    <mergeCell ref="B33:L38"/>
    <mergeCell ref="B21:C21"/>
    <mergeCell ref="B23:C23"/>
    <mergeCell ref="B25:C25"/>
    <mergeCell ref="O21:Z21"/>
    <mergeCell ref="O22:Z24"/>
    <mergeCell ref="O25:Z25"/>
    <mergeCell ref="B29:L29"/>
    <mergeCell ref="B31:L31"/>
  </mergeCells>
  <phoneticPr fontId="1" type="noConversion"/>
  <dataValidations count="3">
    <dataValidation type="list" allowBlank="1" showInputMessage="1" showErrorMessage="1" sqref="E22 E20" xr:uid="{B3806598-3161-47B3-9261-B31ECA8CFA53}">
      <formula1>"yes,no,yes/no"</formula1>
    </dataValidation>
    <dataValidation type="list" allowBlank="1" showInputMessage="1" showErrorMessage="1" sqref="E25 E21 E23" xr:uid="{C3B89126-0386-4C6F-8DFC-A8D2B09FB06E}">
      <formula1>"Yes,No,Yes/No"</formula1>
    </dataValidation>
    <dataValidation type="list" allowBlank="1" showInputMessage="1" showErrorMessage="1" sqref="E9:E19" xr:uid="{2B11881B-5E6C-4E6B-A5FF-E88FFA5BB530}">
      <formula1>"Yes,No,Yes/No,Not applicable"</formula1>
    </dataValidation>
  </dataValidations>
  <hyperlinks>
    <hyperlink ref="B2" location="Contents!A1" display="The Annual Compliance Statement " xr:uid="{D5C3C2AC-754C-406E-940C-AE815742A76F}"/>
  </hyperlinks>
  <pageMargins left="0.70866141732283472" right="0.70866141732283472" top="0.74803149606299213" bottom="0.74803149606299213" header="0.31496062992125984" footer="0.31496062992125984"/>
  <pageSetup paperSize="9" scale="65" orientation="portrait" r:id="rId1"/>
  <headerFooter>
    <oddFooter>&amp;L&amp;F&amp;C&amp;D&amp;RTab: &amp;A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5772E-84D8-4D3F-8027-EFD96E4EE37D}">
  <sheetPr codeName="Sheet4">
    <tabColor rgb="FFC00000"/>
    <pageSetUpPr fitToPage="1"/>
  </sheetPr>
  <dimension ref="B2:AG54"/>
  <sheetViews>
    <sheetView view="pageBreakPreview" zoomScale="52" zoomScaleNormal="85" zoomScaleSheetLayoutView="52" workbookViewId="0">
      <selection activeCell="B29" sqref="B29:M30"/>
    </sheetView>
  </sheetViews>
  <sheetFormatPr defaultColWidth="9.140625" defaultRowHeight="15"/>
  <cols>
    <col min="1" max="1" width="9.140625" style="2"/>
    <col min="2" max="2" width="7.42578125" style="2" customWidth="1"/>
    <col min="3" max="3" width="20.85546875" style="2" customWidth="1"/>
    <col min="4" max="4" width="41.5703125" style="2" bestFit="1" customWidth="1"/>
    <col min="5" max="7" width="9.140625" style="2"/>
    <col min="8" max="8" width="15.85546875" style="2" bestFit="1" customWidth="1"/>
    <col min="9" max="12" width="15.85546875" style="2" customWidth="1"/>
    <col min="13" max="13" width="11" style="2" customWidth="1"/>
    <col min="14" max="18" width="12.140625" style="2" customWidth="1"/>
    <col min="19" max="19" width="13.42578125" style="2" customWidth="1"/>
    <col min="20" max="20" width="15.28515625" style="2" customWidth="1"/>
    <col min="21" max="21" width="13.7109375" style="2" customWidth="1"/>
    <col min="22" max="23" width="13.42578125" style="2" customWidth="1"/>
    <col min="24" max="33" width="13.140625" style="2" customWidth="1"/>
    <col min="34" max="16384" width="9.140625" style="2"/>
  </cols>
  <sheetData>
    <row r="2" spans="2:33" ht="18.75">
      <c r="B2" s="742" t="s">
        <v>94</v>
      </c>
      <c r="C2" s="743"/>
      <c r="D2" s="743"/>
      <c r="E2" s="743"/>
      <c r="F2" s="743"/>
      <c r="G2" s="4"/>
      <c r="H2" s="4"/>
      <c r="I2" s="4"/>
      <c r="J2" s="4"/>
      <c r="K2" s="4"/>
      <c r="L2" s="4"/>
      <c r="M2" s="4"/>
      <c r="N2" s="4"/>
      <c r="O2" s="4"/>
      <c r="P2" s="4"/>
      <c r="Q2" s="4"/>
      <c r="R2" s="4"/>
      <c r="S2" s="4"/>
      <c r="T2" s="4"/>
      <c r="U2" s="4"/>
      <c r="V2" s="4"/>
      <c r="W2" s="4"/>
      <c r="X2" s="4"/>
      <c r="Y2" s="4"/>
      <c r="Z2" s="4"/>
      <c r="AA2" s="4"/>
      <c r="AB2" s="4"/>
      <c r="AC2" s="4"/>
      <c r="AD2" s="4"/>
      <c r="AE2" s="4"/>
      <c r="AF2" s="4"/>
      <c r="AG2" s="5"/>
    </row>
    <row r="3" spans="2:33">
      <c r="B3" s="6" t="s">
        <v>15</v>
      </c>
      <c r="T3" s="3"/>
      <c r="U3" s="3"/>
      <c r="V3" s="3"/>
      <c r="W3" s="3"/>
      <c r="X3" s="3"/>
      <c r="Y3" s="3"/>
      <c r="Z3" s="3"/>
      <c r="AA3" s="3"/>
      <c r="AB3" s="3"/>
      <c r="AC3" s="3"/>
      <c r="AD3" s="3"/>
      <c r="AE3" s="3"/>
      <c r="AF3" s="3"/>
      <c r="AG3" s="7"/>
    </row>
    <row r="4" spans="2:33">
      <c r="B4" s="6"/>
      <c r="O4" s="625"/>
      <c r="P4" s="519"/>
      <c r="R4" s="3"/>
      <c r="S4" s="3"/>
      <c r="T4" s="3"/>
      <c r="U4" s="3"/>
      <c r="V4" s="3"/>
      <c r="W4" s="3"/>
      <c r="X4" s="3"/>
      <c r="Y4" s="3"/>
      <c r="Z4" s="3"/>
      <c r="AA4" s="3"/>
      <c r="AB4" s="3"/>
      <c r="AC4" s="3"/>
      <c r="AD4" s="3"/>
      <c r="AE4" s="3"/>
      <c r="AF4" s="3"/>
      <c r="AG4" s="7"/>
    </row>
    <row r="5" spans="2:33" ht="107.25" customHeight="1">
      <c r="B5" s="24"/>
      <c r="C5" s="740" t="s">
        <v>95</v>
      </c>
      <c r="D5" s="741"/>
      <c r="E5" s="317" t="s">
        <v>96</v>
      </c>
      <c r="F5" s="463" t="s">
        <v>97</v>
      </c>
      <c r="G5" s="463" t="s">
        <v>98</v>
      </c>
      <c r="H5" s="463" t="s">
        <v>99</v>
      </c>
      <c r="I5" s="463" t="s">
        <v>100</v>
      </c>
      <c r="J5" s="463" t="s">
        <v>101</v>
      </c>
      <c r="K5" s="463" t="s">
        <v>102</v>
      </c>
      <c r="L5" s="463" t="s">
        <v>103</v>
      </c>
      <c r="M5" s="317" t="s">
        <v>104</v>
      </c>
      <c r="N5" s="317" t="s">
        <v>105</v>
      </c>
      <c r="O5" s="317" t="s">
        <v>106</v>
      </c>
      <c r="P5" s="317" t="s">
        <v>107</v>
      </c>
      <c r="Q5" s="317" t="s">
        <v>108</v>
      </c>
      <c r="R5" s="317" t="s">
        <v>109</v>
      </c>
      <c r="S5" s="317" t="s">
        <v>110</v>
      </c>
      <c r="T5" s="470" t="s">
        <v>111</v>
      </c>
      <c r="U5" s="317" t="s">
        <v>112</v>
      </c>
      <c r="V5" s="317" t="s">
        <v>113</v>
      </c>
      <c r="W5" s="470" t="s">
        <v>114</v>
      </c>
      <c r="X5" s="317" t="s">
        <v>115</v>
      </c>
      <c r="Y5" s="317" t="s">
        <v>116</v>
      </c>
      <c r="Z5" s="470" t="s">
        <v>117</v>
      </c>
      <c r="AA5" s="317" t="s">
        <v>118</v>
      </c>
      <c r="AB5" s="317" t="s">
        <v>119</v>
      </c>
      <c r="AC5" s="470" t="s">
        <v>120</v>
      </c>
      <c r="AD5" s="317" t="s">
        <v>121</v>
      </c>
      <c r="AE5" s="317" t="s">
        <v>122</v>
      </c>
      <c r="AF5" s="470" t="s">
        <v>123</v>
      </c>
      <c r="AG5" s="7"/>
    </row>
    <row r="6" spans="2:33">
      <c r="B6" s="33" t="s">
        <v>124</v>
      </c>
      <c r="C6" s="34"/>
      <c r="D6" s="34"/>
      <c r="E6" s="62" t="s">
        <v>125</v>
      </c>
      <c r="F6" s="34" t="s">
        <v>126</v>
      </c>
      <c r="G6" s="34" t="s">
        <v>127</v>
      </c>
      <c r="H6" s="34"/>
      <c r="I6" s="34"/>
      <c r="J6" s="34"/>
      <c r="K6" s="34"/>
      <c r="L6" s="34"/>
      <c r="M6" s="62" t="s">
        <v>128</v>
      </c>
      <c r="N6" s="62" t="s">
        <v>128</v>
      </c>
      <c r="O6" s="62" t="s">
        <v>128</v>
      </c>
      <c r="P6" s="62" t="s">
        <v>128</v>
      </c>
      <c r="Q6" s="62" t="s">
        <v>128</v>
      </c>
      <c r="R6" s="62"/>
      <c r="S6" s="62"/>
      <c r="T6" s="62"/>
      <c r="U6" s="36"/>
      <c r="V6" s="62"/>
      <c r="W6" s="62"/>
      <c r="X6" s="62"/>
      <c r="Y6" s="62"/>
      <c r="Z6" s="62"/>
      <c r="AA6" s="62"/>
      <c r="AB6" s="62"/>
      <c r="AC6" s="62"/>
      <c r="AD6" s="62"/>
      <c r="AE6" s="62"/>
      <c r="AF6" s="62"/>
      <c r="AG6" s="7"/>
    </row>
    <row r="7" spans="2:33" ht="45">
      <c r="B7" s="6"/>
      <c r="C7" s="289" t="s">
        <v>129</v>
      </c>
      <c r="D7" s="290"/>
      <c r="E7" s="300"/>
      <c r="F7" s="300"/>
      <c r="G7" s="300"/>
      <c r="H7" s="471"/>
      <c r="I7" s="471"/>
      <c r="J7" s="471"/>
      <c r="K7" s="471"/>
      <c r="L7" s="471"/>
      <c r="M7" s="472"/>
      <c r="N7" s="472"/>
      <c r="O7" s="472" t="s">
        <v>130</v>
      </c>
      <c r="P7" s="472"/>
      <c r="Q7" s="472"/>
      <c r="R7" s="510"/>
      <c r="S7" s="511" t="str">
        <f>IF(COUNTIF(R8:R13,"Yes")&gt;=4,"Yes","No")</f>
        <v>Yes</v>
      </c>
      <c r="T7" s="511" t="s">
        <v>131</v>
      </c>
      <c r="U7" s="512"/>
      <c r="V7" s="511" t="str">
        <f>IF($U8="N/A","N/A",IF(COUNTIF(U8:U13,"Yes")&gt;=4,"Yes","No"))</f>
        <v>Yes</v>
      </c>
      <c r="W7" s="511" t="str">
        <f>IF($V7="N/A","N/A",IF(OR(V7="Yes",S7="Yes"),"Yes","No"))</f>
        <v>Yes</v>
      </c>
      <c r="X7" s="510"/>
      <c r="Y7" s="511" t="str">
        <f>IF($X8="N/A","N/A",IF(COUNTIF(X8:X13,"Yes")&gt;=4,"Yes","No"))</f>
        <v>Yes</v>
      </c>
      <c r="Z7" s="511" t="str">
        <f>IF($Y7="N/A","N/A",IF(OR(Y7="Yes",AND(S7="Yes",V7="Yes")),"Yes","No"))</f>
        <v>Yes</v>
      </c>
      <c r="AA7" s="510"/>
      <c r="AB7" s="511" t="str">
        <f>IF($AA8="N/A","N/A",IF(COUNTIF(AA8:AA13,"Yes")&gt;=4,"Yes","No"))</f>
        <v>Yes</v>
      </c>
      <c r="AC7" s="511" t="str">
        <f>IF($AB7="N/A","N/A",IF(OR(AB7="Yes",AND(V7="Yes",Y7="Yes")),"Yes","No"))</f>
        <v>Yes</v>
      </c>
      <c r="AD7" s="510"/>
      <c r="AE7" s="511" t="str">
        <f>IF($AD8="N/A","N/A",IF(COUNTIF(AD8:AD13,"Yes")&gt;=4,"Yes","No"))</f>
        <v>Yes</v>
      </c>
      <c r="AF7" s="511" t="str">
        <f>IF($AE7="N/A","N/A",IF(OR(AE7="Yes",AND(AB7="Yes",Y7="Yes")),"Yes","No"))</f>
        <v>Yes</v>
      </c>
      <c r="AG7" s="473"/>
    </row>
    <row r="8" spans="2:33">
      <c r="B8" s="6"/>
      <c r="C8" s="226"/>
      <c r="D8" s="226" t="s">
        <v>132</v>
      </c>
      <c r="E8" s="292">
        <v>0</v>
      </c>
      <c r="F8" s="292">
        <v>7</v>
      </c>
      <c r="G8" s="292">
        <v>14</v>
      </c>
      <c r="H8" s="292">
        <v>14</v>
      </c>
      <c r="I8" s="292">
        <v>14</v>
      </c>
      <c r="J8" s="292">
        <v>14</v>
      </c>
      <c r="K8" s="292">
        <v>14</v>
      </c>
      <c r="L8" s="292">
        <v>14</v>
      </c>
      <c r="M8" s="610">
        <v>1</v>
      </c>
      <c r="N8" s="610">
        <v>0</v>
      </c>
      <c r="O8" s="610">
        <v>5</v>
      </c>
      <c r="P8" s="610">
        <v>5</v>
      </c>
      <c r="Q8" s="610">
        <v>2</v>
      </c>
      <c r="R8" s="503" t="str">
        <f>IF($M8&lt;=$H8,"Yes","No")</f>
        <v>Yes</v>
      </c>
      <c r="S8" s="503"/>
      <c r="T8" s="503"/>
      <c r="U8" s="503" t="str">
        <f t="shared" ref="U8:U12" si="0">IF($N8="N/A","N/A",IF($N8&lt;=I8,"Yes","No"))</f>
        <v>Yes</v>
      </c>
      <c r="V8" s="503"/>
      <c r="W8" s="503"/>
      <c r="X8" s="503" t="str">
        <f>IF($O8="N/A","N/A",IF($O8&lt;=J8,"Yes","No"))</f>
        <v>Yes</v>
      </c>
      <c r="Y8" s="503"/>
      <c r="Z8" s="503"/>
      <c r="AA8" s="503" t="str">
        <f>IF($P8="N/A","N/A",IF($P8&lt;=K8,"Yes","No"))</f>
        <v>Yes</v>
      </c>
      <c r="AB8" s="503"/>
      <c r="AC8" s="503"/>
      <c r="AD8" s="503" t="str">
        <f t="shared" ref="AD8:AD13" si="1">IF($Q8="N/A","N/A",IF($Q8&lt;=L8,"Yes","No"))</f>
        <v>Yes</v>
      </c>
      <c r="AE8" s="503"/>
      <c r="AF8" s="503"/>
      <c r="AG8" s="7"/>
    </row>
    <row r="9" spans="2:33">
      <c r="B9" s="6"/>
      <c r="C9" s="39"/>
      <c r="D9" s="39" t="s">
        <v>133</v>
      </c>
      <c r="E9" s="293">
        <v>7</v>
      </c>
      <c r="F9" s="293">
        <v>24</v>
      </c>
      <c r="G9" s="293">
        <v>41</v>
      </c>
      <c r="H9" s="293">
        <v>41</v>
      </c>
      <c r="I9" s="293">
        <v>41</v>
      </c>
      <c r="J9" s="293">
        <v>41</v>
      </c>
      <c r="K9" s="293">
        <v>41</v>
      </c>
      <c r="L9" s="293">
        <v>41</v>
      </c>
      <c r="M9" s="611">
        <v>10</v>
      </c>
      <c r="N9" s="611">
        <v>17</v>
      </c>
      <c r="O9" s="611">
        <v>11</v>
      </c>
      <c r="P9" s="611">
        <v>10</v>
      </c>
      <c r="Q9" s="611">
        <v>13</v>
      </c>
      <c r="R9" s="504" t="str">
        <f t="shared" ref="R9:R13" si="2">IF($M9&lt;=$H9,"Yes","No")</f>
        <v>Yes</v>
      </c>
      <c r="S9" s="504"/>
      <c r="T9" s="504"/>
      <c r="U9" s="504" t="str">
        <f t="shared" si="0"/>
        <v>Yes</v>
      </c>
      <c r="V9" s="504"/>
      <c r="W9" s="504"/>
      <c r="X9" s="504" t="str">
        <f t="shared" ref="X9:X13" si="3">IF($O9="N/A","N/A",IF($O9&lt;=J9,"Yes","No"))</f>
        <v>Yes</v>
      </c>
      <c r="Y9" s="504"/>
      <c r="Z9" s="504"/>
      <c r="AA9" s="504" t="str">
        <f t="shared" ref="AA9:AA13" si="4">IF($P9="N/A","N/A",IF($P9&lt;=K9,"Yes","No"))</f>
        <v>Yes</v>
      </c>
      <c r="AB9" s="504"/>
      <c r="AC9" s="504"/>
      <c r="AD9" s="504" t="str">
        <f t="shared" si="1"/>
        <v>Yes</v>
      </c>
      <c r="AE9" s="504"/>
      <c r="AF9" s="513"/>
      <c r="AG9" s="7"/>
    </row>
    <row r="10" spans="2:33">
      <c r="B10" s="6"/>
      <c r="C10" s="226"/>
      <c r="D10" s="226" t="s">
        <v>134</v>
      </c>
      <c r="E10" s="294">
        <v>4</v>
      </c>
      <c r="F10" s="294">
        <v>6</v>
      </c>
      <c r="G10" s="294">
        <v>8</v>
      </c>
      <c r="H10" s="294">
        <v>8</v>
      </c>
      <c r="I10" s="294">
        <v>8</v>
      </c>
      <c r="J10" s="294">
        <v>8</v>
      </c>
      <c r="K10" s="294">
        <v>8</v>
      </c>
      <c r="L10" s="294">
        <v>8</v>
      </c>
      <c r="M10" s="612">
        <v>7</v>
      </c>
      <c r="N10" s="612">
        <v>3</v>
      </c>
      <c r="O10" s="612">
        <v>2</v>
      </c>
      <c r="P10" s="612">
        <v>2</v>
      </c>
      <c r="Q10" s="612">
        <v>3</v>
      </c>
      <c r="R10" s="505" t="str">
        <f t="shared" si="2"/>
        <v>Yes</v>
      </c>
      <c r="S10" s="505"/>
      <c r="T10" s="505"/>
      <c r="U10" s="505" t="str">
        <f t="shared" si="0"/>
        <v>Yes</v>
      </c>
      <c r="V10" s="505"/>
      <c r="W10" s="505"/>
      <c r="X10" s="505" t="str">
        <f t="shared" si="3"/>
        <v>Yes</v>
      </c>
      <c r="Y10" s="505"/>
      <c r="Z10" s="505"/>
      <c r="AA10" s="505" t="str">
        <f t="shared" si="4"/>
        <v>Yes</v>
      </c>
      <c r="AB10" s="505"/>
      <c r="AC10" s="505"/>
      <c r="AD10" s="505" t="str">
        <f t="shared" si="1"/>
        <v>Yes</v>
      </c>
      <c r="AE10" s="505"/>
      <c r="AF10" s="505"/>
      <c r="AG10" s="7"/>
    </row>
    <row r="11" spans="2:33">
      <c r="B11" s="6"/>
      <c r="C11" s="39"/>
      <c r="D11" s="39" t="s">
        <v>135</v>
      </c>
      <c r="E11" s="293">
        <v>9</v>
      </c>
      <c r="F11" s="293">
        <v>23</v>
      </c>
      <c r="G11" s="293">
        <v>37</v>
      </c>
      <c r="H11" s="293">
        <v>37</v>
      </c>
      <c r="I11" s="293">
        <v>37</v>
      </c>
      <c r="J11" s="293">
        <v>37</v>
      </c>
      <c r="K11" s="293">
        <v>37</v>
      </c>
      <c r="L11" s="293">
        <v>37</v>
      </c>
      <c r="M11" s="611">
        <v>13</v>
      </c>
      <c r="N11" s="611">
        <v>12</v>
      </c>
      <c r="O11" s="611">
        <v>16</v>
      </c>
      <c r="P11" s="611">
        <v>12</v>
      </c>
      <c r="Q11" s="611">
        <v>15</v>
      </c>
      <c r="R11" s="504" t="str">
        <f t="shared" si="2"/>
        <v>Yes</v>
      </c>
      <c r="S11" s="504"/>
      <c r="T11" s="504"/>
      <c r="U11" s="504" t="str">
        <f t="shared" si="0"/>
        <v>Yes</v>
      </c>
      <c r="V11" s="504"/>
      <c r="W11" s="504"/>
      <c r="X11" s="504" t="str">
        <f t="shared" si="3"/>
        <v>Yes</v>
      </c>
      <c r="Y11" s="504"/>
      <c r="Z11" s="504"/>
      <c r="AA11" s="504" t="str">
        <f t="shared" si="4"/>
        <v>Yes</v>
      </c>
      <c r="AB11" s="504"/>
      <c r="AC11" s="504"/>
      <c r="AD11" s="504" t="str">
        <f t="shared" si="1"/>
        <v>Yes</v>
      </c>
      <c r="AE11" s="504"/>
      <c r="AF11" s="513"/>
      <c r="AG11" s="7"/>
    </row>
    <row r="12" spans="2:33">
      <c r="B12" s="6"/>
      <c r="C12" s="226"/>
      <c r="D12" s="226" t="s">
        <v>136</v>
      </c>
      <c r="E12" s="294">
        <v>5</v>
      </c>
      <c r="F12" s="294">
        <v>9</v>
      </c>
      <c r="G12" s="294">
        <v>13</v>
      </c>
      <c r="H12" s="294">
        <v>13</v>
      </c>
      <c r="I12" s="294">
        <v>13</v>
      </c>
      <c r="J12" s="294">
        <v>13</v>
      </c>
      <c r="K12" s="294">
        <v>13</v>
      </c>
      <c r="L12" s="294">
        <v>13</v>
      </c>
      <c r="M12" s="612">
        <v>11</v>
      </c>
      <c r="N12" s="612">
        <v>7</v>
      </c>
      <c r="O12" s="612">
        <v>9</v>
      </c>
      <c r="P12" s="612">
        <v>3</v>
      </c>
      <c r="Q12" s="612">
        <v>9</v>
      </c>
      <c r="R12" s="505" t="str">
        <f t="shared" si="2"/>
        <v>Yes</v>
      </c>
      <c r="S12" s="505"/>
      <c r="T12" s="505"/>
      <c r="U12" s="505" t="str">
        <f t="shared" si="0"/>
        <v>Yes</v>
      </c>
      <c r="V12" s="505"/>
      <c r="W12" s="505"/>
      <c r="X12" s="505" t="str">
        <f t="shared" si="3"/>
        <v>Yes</v>
      </c>
      <c r="Y12" s="505"/>
      <c r="Z12" s="505"/>
      <c r="AA12" s="505" t="str">
        <f t="shared" si="4"/>
        <v>Yes</v>
      </c>
      <c r="AB12" s="505"/>
      <c r="AC12" s="505"/>
      <c r="AD12" s="505" t="str">
        <f t="shared" si="1"/>
        <v>Yes</v>
      </c>
      <c r="AE12" s="505"/>
      <c r="AF12" s="505"/>
      <c r="AG12" s="7"/>
    </row>
    <row r="13" spans="2:33">
      <c r="B13" s="6"/>
      <c r="C13" s="282"/>
      <c r="D13" s="282" t="s">
        <v>137</v>
      </c>
      <c r="E13" s="296">
        <v>6</v>
      </c>
      <c r="F13" s="296">
        <v>12</v>
      </c>
      <c r="G13" s="296">
        <v>18</v>
      </c>
      <c r="H13" s="296">
        <v>18</v>
      </c>
      <c r="I13" s="296">
        <v>18</v>
      </c>
      <c r="J13" s="296">
        <v>18</v>
      </c>
      <c r="K13" s="296">
        <v>18</v>
      </c>
      <c r="L13" s="296">
        <v>18</v>
      </c>
      <c r="M13" s="613">
        <v>2</v>
      </c>
      <c r="N13" s="613">
        <v>13</v>
      </c>
      <c r="O13" s="613">
        <v>16</v>
      </c>
      <c r="P13" s="613">
        <v>6</v>
      </c>
      <c r="Q13" s="613">
        <v>6</v>
      </c>
      <c r="R13" s="506" t="str">
        <f t="shared" si="2"/>
        <v>Yes</v>
      </c>
      <c r="S13" s="506"/>
      <c r="T13" s="506"/>
      <c r="U13" s="506" t="str">
        <f>IF($N13="N/A","N/A",IF($N13&lt;=I13,"Yes","No"))</f>
        <v>Yes</v>
      </c>
      <c r="V13" s="506"/>
      <c r="W13" s="506"/>
      <c r="X13" s="506" t="str">
        <f t="shared" si="3"/>
        <v>Yes</v>
      </c>
      <c r="Y13" s="506"/>
      <c r="Z13" s="506"/>
      <c r="AA13" s="506" t="str">
        <f t="shared" si="4"/>
        <v>Yes</v>
      </c>
      <c r="AB13" s="506"/>
      <c r="AC13" s="506"/>
      <c r="AD13" s="506" t="str">
        <f t="shared" si="1"/>
        <v>Yes</v>
      </c>
      <c r="AE13" s="506"/>
      <c r="AF13" s="514"/>
      <c r="AG13" s="7"/>
    </row>
    <row r="14" spans="2:33" ht="43.5" customHeight="1">
      <c r="B14" s="6"/>
      <c r="C14" s="289" t="s">
        <v>138</v>
      </c>
      <c r="D14" s="290"/>
      <c r="E14" s="300"/>
      <c r="F14" s="300"/>
      <c r="G14" s="300"/>
      <c r="H14" s="471"/>
      <c r="I14" s="471"/>
      <c r="J14" s="471"/>
      <c r="K14" s="471"/>
      <c r="L14" s="471"/>
      <c r="M14" s="617"/>
      <c r="N14" s="507"/>
      <c r="O14" s="507"/>
      <c r="P14" s="507"/>
      <c r="Q14" s="507"/>
      <c r="R14" s="507"/>
      <c r="S14" s="507" t="str">
        <f>IF(COUNTIF(R15:R20,"Yes")&gt;=4,"Yes","No")</f>
        <v>Yes</v>
      </c>
      <c r="T14" s="507" t="s">
        <v>139</v>
      </c>
      <c r="U14" s="507"/>
      <c r="V14" s="511" t="str">
        <f>IF($U15="N/A","N/A",IF(COUNTIF(U15:U20,"Yes")&gt;=4,"Yes","No"))</f>
        <v>Yes</v>
      </c>
      <c r="W14" s="511" t="str">
        <f>IF($V14="N/A","N/A",IF(OR(V14="Yes",S14="Yes"),"Yes","No"))</f>
        <v>Yes</v>
      </c>
      <c r="X14" s="510"/>
      <c r="Y14" s="511" t="str">
        <f>IF($X15="N/A","N/A",IF(COUNTIF(X15:X20,"Yes")&gt;=4,"Yes","No"))</f>
        <v>Yes</v>
      </c>
      <c r="Z14" s="511" t="str">
        <f>IF($Y14="N/A","N/A",IF(OR(Y14="Yes",AND(S14="Yes",V14="Yes")),"Yes","No"))</f>
        <v>Yes</v>
      </c>
      <c r="AA14" s="510"/>
      <c r="AB14" s="511" t="str">
        <f>IF($AA15="N/A","N/A",IF(COUNTIF(AA15:AA20,"Yes")&gt;=4,"Yes","No"))</f>
        <v>Yes</v>
      </c>
      <c r="AC14" s="511" t="str">
        <f>IF($AB14="N/A","N/A",IF(OR(AB14="Yes",AND(V14="Yes",Y14="Yes")),"Yes","No"))</f>
        <v>Yes</v>
      </c>
      <c r="AD14" s="510"/>
      <c r="AE14" s="511" t="str">
        <f>IF($AD15="N/A","N/A",IF(COUNTIF(AD15:AD20,"Yes")&gt;=4,"Yes","No"))</f>
        <v>Yes</v>
      </c>
      <c r="AF14" s="511" t="str">
        <f>IF($AE14="N/A","N/A",IF(OR(AE14="Yes",AND(AB14="Yes",Y14="Yes")),"Yes","No"))</f>
        <v>Yes</v>
      </c>
      <c r="AG14" s="473"/>
    </row>
    <row r="15" spans="2:33">
      <c r="B15" s="6"/>
      <c r="C15" s="226"/>
      <c r="D15" s="226" t="s">
        <v>132</v>
      </c>
      <c r="E15" s="292">
        <v>30</v>
      </c>
      <c r="F15" s="292">
        <v>92</v>
      </c>
      <c r="G15" s="292">
        <v>154</v>
      </c>
      <c r="H15" s="292">
        <v>154</v>
      </c>
      <c r="I15" s="292">
        <v>154</v>
      </c>
      <c r="J15" s="292">
        <v>154</v>
      </c>
      <c r="K15" s="292">
        <v>154</v>
      </c>
      <c r="L15" s="292">
        <v>154</v>
      </c>
      <c r="M15" s="610">
        <v>28</v>
      </c>
      <c r="N15" s="610">
        <v>0</v>
      </c>
      <c r="O15" s="610">
        <v>51.2</v>
      </c>
      <c r="P15" s="610">
        <v>72</v>
      </c>
      <c r="Q15" s="610">
        <v>93</v>
      </c>
      <c r="R15" s="503" t="str">
        <f t="shared" ref="R15:R20" si="5">IF($M15&lt;=$H15,"Yes","No")</f>
        <v>Yes</v>
      </c>
      <c r="S15" s="503"/>
      <c r="T15" s="503"/>
      <c r="U15" s="503" t="str">
        <f t="shared" ref="U15:U20" si="6">IF($N15="N/A","N/A",IF($N15&lt;=I15,"Yes","No"))</f>
        <v>Yes</v>
      </c>
      <c r="V15" s="503"/>
      <c r="W15" s="503"/>
      <c r="X15" s="503" t="str">
        <f t="shared" ref="X15:X20" si="7">IF($O15="N/A","N/A",IF($O15&lt;=J15,"Yes","No"))</f>
        <v>Yes</v>
      </c>
      <c r="Y15" s="503"/>
      <c r="Z15" s="503"/>
      <c r="AA15" s="503" t="str">
        <f t="shared" ref="AA15:AA20" si="8">IF($P15="N/A","N/A",IF($P15&lt;=K15,"Yes","No"))</f>
        <v>Yes</v>
      </c>
      <c r="AB15" s="503"/>
      <c r="AC15" s="503"/>
      <c r="AD15" s="503" t="str">
        <f t="shared" ref="AD15:AD20" si="9">IF($Q15="N/A","N/A",IF($Q15&lt;=L15,"Yes","No"))</f>
        <v>Yes</v>
      </c>
      <c r="AE15" s="503"/>
      <c r="AF15" s="503"/>
      <c r="AG15" s="7"/>
    </row>
    <row r="16" spans="2:33">
      <c r="B16" s="6"/>
      <c r="C16" s="39"/>
      <c r="D16" s="39" t="s">
        <v>133</v>
      </c>
      <c r="E16" s="293">
        <v>36</v>
      </c>
      <c r="F16" s="293">
        <v>61</v>
      </c>
      <c r="G16" s="293">
        <v>86</v>
      </c>
      <c r="H16" s="293">
        <v>86</v>
      </c>
      <c r="I16" s="293">
        <v>86</v>
      </c>
      <c r="J16" s="293">
        <v>86</v>
      </c>
      <c r="K16" s="293">
        <v>86</v>
      </c>
      <c r="L16" s="293">
        <v>86</v>
      </c>
      <c r="M16" s="611">
        <v>89.2</v>
      </c>
      <c r="N16" s="611">
        <v>77.599999999999994</v>
      </c>
      <c r="O16" s="611">
        <v>60.363636363636367</v>
      </c>
      <c r="P16" s="611">
        <v>47.3</v>
      </c>
      <c r="Q16" s="611">
        <v>70.692307692307693</v>
      </c>
      <c r="R16" s="504" t="str">
        <f t="shared" si="5"/>
        <v>No</v>
      </c>
      <c r="S16" s="504"/>
      <c r="T16" s="504"/>
      <c r="U16" s="504" t="str">
        <f t="shared" si="6"/>
        <v>Yes</v>
      </c>
      <c r="V16" s="504"/>
      <c r="W16" s="504"/>
      <c r="X16" s="504" t="str">
        <f t="shared" si="7"/>
        <v>Yes</v>
      </c>
      <c r="Y16" s="504"/>
      <c r="Z16" s="504"/>
      <c r="AA16" s="504" t="str">
        <f t="shared" si="8"/>
        <v>Yes</v>
      </c>
      <c r="AB16" s="504"/>
      <c r="AC16" s="504"/>
      <c r="AD16" s="504" t="str">
        <f t="shared" si="9"/>
        <v>Yes</v>
      </c>
      <c r="AE16" s="504"/>
      <c r="AF16" s="513"/>
      <c r="AG16" s="7"/>
    </row>
    <row r="17" spans="2:33">
      <c r="B17" s="6"/>
      <c r="C17" s="226"/>
      <c r="D17" s="226" t="s">
        <v>134</v>
      </c>
      <c r="E17" s="294">
        <v>0</v>
      </c>
      <c r="F17" s="294">
        <v>103</v>
      </c>
      <c r="G17" s="294">
        <v>206</v>
      </c>
      <c r="H17" s="294">
        <v>206</v>
      </c>
      <c r="I17" s="294">
        <v>206</v>
      </c>
      <c r="J17" s="294">
        <v>206</v>
      </c>
      <c r="K17" s="294">
        <v>206</v>
      </c>
      <c r="L17" s="294">
        <v>206</v>
      </c>
      <c r="M17" s="612">
        <v>87.1</v>
      </c>
      <c r="N17" s="612">
        <v>62</v>
      </c>
      <c r="O17" s="612">
        <v>36</v>
      </c>
      <c r="P17" s="612">
        <v>20.5</v>
      </c>
      <c r="Q17" s="612">
        <v>37.666666666666664</v>
      </c>
      <c r="R17" s="505" t="str">
        <f t="shared" si="5"/>
        <v>Yes</v>
      </c>
      <c r="S17" s="505"/>
      <c r="T17" s="505"/>
      <c r="U17" s="505" t="str">
        <f t="shared" si="6"/>
        <v>Yes</v>
      </c>
      <c r="V17" s="505"/>
      <c r="W17" s="505"/>
      <c r="X17" s="505" t="str">
        <f t="shared" si="7"/>
        <v>Yes</v>
      </c>
      <c r="Y17" s="505"/>
      <c r="Z17" s="505"/>
      <c r="AA17" s="505" t="str">
        <f t="shared" si="8"/>
        <v>Yes</v>
      </c>
      <c r="AB17" s="505"/>
      <c r="AC17" s="505"/>
      <c r="AD17" s="505" t="str">
        <f t="shared" si="9"/>
        <v>Yes</v>
      </c>
      <c r="AE17" s="505"/>
      <c r="AF17" s="505"/>
      <c r="AG17" s="7"/>
    </row>
    <row r="18" spans="2:33">
      <c r="B18" s="6"/>
      <c r="C18" s="39"/>
      <c r="D18" s="39" t="s">
        <v>135</v>
      </c>
      <c r="E18" s="293">
        <v>0</v>
      </c>
      <c r="F18" s="293">
        <v>140</v>
      </c>
      <c r="G18" s="293">
        <v>280</v>
      </c>
      <c r="H18" s="293">
        <v>280</v>
      </c>
      <c r="I18" s="293">
        <v>280</v>
      </c>
      <c r="J18" s="293">
        <v>280</v>
      </c>
      <c r="K18" s="293">
        <v>280</v>
      </c>
      <c r="L18" s="293">
        <v>280</v>
      </c>
      <c r="M18" s="611">
        <v>85.5</v>
      </c>
      <c r="N18" s="611">
        <v>114.3</v>
      </c>
      <c r="O18" s="611">
        <v>68.125</v>
      </c>
      <c r="P18" s="611">
        <v>102.75</v>
      </c>
      <c r="Q18" s="611">
        <v>59.2</v>
      </c>
      <c r="R18" s="504" t="str">
        <f t="shared" si="5"/>
        <v>Yes</v>
      </c>
      <c r="S18" s="504"/>
      <c r="T18" s="504"/>
      <c r="U18" s="504" t="str">
        <f t="shared" si="6"/>
        <v>Yes</v>
      </c>
      <c r="V18" s="504"/>
      <c r="W18" s="504"/>
      <c r="X18" s="504" t="str">
        <f t="shared" si="7"/>
        <v>Yes</v>
      </c>
      <c r="Y18" s="504"/>
      <c r="Z18" s="504"/>
      <c r="AA18" s="504" t="str">
        <f t="shared" si="8"/>
        <v>Yes</v>
      </c>
      <c r="AB18" s="504"/>
      <c r="AC18" s="504"/>
      <c r="AD18" s="504" t="str">
        <f t="shared" si="9"/>
        <v>Yes</v>
      </c>
      <c r="AE18" s="504"/>
      <c r="AF18" s="513"/>
      <c r="AG18" s="7"/>
    </row>
    <row r="19" spans="2:33">
      <c r="B19" s="6"/>
      <c r="C19" s="226"/>
      <c r="D19" s="226" t="s">
        <v>136</v>
      </c>
      <c r="E19" s="294">
        <v>50</v>
      </c>
      <c r="F19" s="294">
        <v>174</v>
      </c>
      <c r="G19" s="294">
        <v>298</v>
      </c>
      <c r="H19" s="294">
        <v>298</v>
      </c>
      <c r="I19" s="294">
        <v>298</v>
      </c>
      <c r="J19" s="294">
        <v>298</v>
      </c>
      <c r="K19" s="294">
        <v>298</v>
      </c>
      <c r="L19" s="294">
        <v>298</v>
      </c>
      <c r="M19" s="612">
        <v>131.19999999999999</v>
      </c>
      <c r="N19" s="612">
        <v>324.89999999999998</v>
      </c>
      <c r="O19" s="612">
        <v>1140</v>
      </c>
      <c r="P19" s="612">
        <v>142</v>
      </c>
      <c r="Q19" s="612">
        <v>211.66666666666666</v>
      </c>
      <c r="R19" s="505" t="str">
        <f t="shared" si="5"/>
        <v>Yes</v>
      </c>
      <c r="S19" s="505"/>
      <c r="T19" s="505"/>
      <c r="U19" s="505" t="str">
        <f t="shared" si="6"/>
        <v>No</v>
      </c>
      <c r="V19" s="505"/>
      <c r="W19" s="505"/>
      <c r="X19" s="505" t="str">
        <f t="shared" si="7"/>
        <v>No</v>
      </c>
      <c r="Y19" s="505"/>
      <c r="Z19" s="505"/>
      <c r="AA19" s="505" t="str">
        <f t="shared" si="8"/>
        <v>Yes</v>
      </c>
      <c r="AB19" s="505"/>
      <c r="AC19" s="505"/>
      <c r="AD19" s="505" t="str">
        <f t="shared" si="9"/>
        <v>Yes</v>
      </c>
      <c r="AE19" s="505"/>
      <c r="AF19" s="505"/>
      <c r="AG19" s="7"/>
    </row>
    <row r="20" spans="2:33">
      <c r="B20" s="6"/>
      <c r="C20" s="282"/>
      <c r="D20" s="282" t="s">
        <v>137</v>
      </c>
      <c r="E20" s="296">
        <v>11</v>
      </c>
      <c r="F20" s="296">
        <v>93</v>
      </c>
      <c r="G20" s="296">
        <v>175</v>
      </c>
      <c r="H20" s="296">
        <v>175</v>
      </c>
      <c r="I20" s="296">
        <v>175</v>
      </c>
      <c r="J20" s="296">
        <v>175</v>
      </c>
      <c r="K20" s="296">
        <v>175</v>
      </c>
      <c r="L20" s="296">
        <v>175</v>
      </c>
      <c r="M20" s="613">
        <v>43</v>
      </c>
      <c r="N20" s="613">
        <v>72.8</v>
      </c>
      <c r="O20" s="613">
        <v>71.5</v>
      </c>
      <c r="P20" s="613">
        <v>263</v>
      </c>
      <c r="Q20" s="613">
        <v>11.166666666666666</v>
      </c>
      <c r="R20" s="506" t="str">
        <f t="shared" si="5"/>
        <v>Yes</v>
      </c>
      <c r="S20" s="506"/>
      <c r="T20" s="506"/>
      <c r="U20" s="506" t="str">
        <f t="shared" si="6"/>
        <v>Yes</v>
      </c>
      <c r="V20" s="506"/>
      <c r="W20" s="506"/>
      <c r="X20" s="506" t="str">
        <f t="shared" si="7"/>
        <v>Yes</v>
      </c>
      <c r="Y20" s="506"/>
      <c r="Z20" s="506"/>
      <c r="AA20" s="506" t="str">
        <f t="shared" si="8"/>
        <v>No</v>
      </c>
      <c r="AB20" s="506"/>
      <c r="AC20" s="506"/>
      <c r="AD20" s="506" t="str">
        <f t="shared" si="9"/>
        <v>Yes</v>
      </c>
      <c r="AE20" s="506"/>
      <c r="AF20" s="514"/>
      <c r="AG20" s="7"/>
    </row>
    <row r="21" spans="2:33">
      <c r="B21" s="6"/>
      <c r="C21" s="289" t="s">
        <v>140</v>
      </c>
      <c r="D21" s="290"/>
      <c r="E21" s="300"/>
      <c r="F21" s="300"/>
      <c r="G21" s="300"/>
      <c r="H21" s="300"/>
      <c r="I21" s="300"/>
      <c r="J21" s="300"/>
      <c r="K21" s="300"/>
      <c r="L21" s="300"/>
      <c r="M21" s="617"/>
      <c r="N21" s="508"/>
      <c r="O21" s="508"/>
      <c r="P21" s="508"/>
      <c r="Q21" s="508"/>
      <c r="R21" s="508"/>
      <c r="S21" s="508"/>
      <c r="T21" s="508"/>
      <c r="U21" s="508"/>
      <c r="V21" s="508"/>
      <c r="W21" s="508"/>
      <c r="X21" s="508"/>
      <c r="Y21" s="508"/>
      <c r="Z21" s="508"/>
      <c r="AA21" s="508"/>
      <c r="AB21" s="508"/>
      <c r="AC21" s="508"/>
      <c r="AD21" s="508"/>
      <c r="AE21" s="508"/>
      <c r="AF21" s="510"/>
      <c r="AG21" s="473"/>
    </row>
    <row r="22" spans="2:33">
      <c r="B22" s="6"/>
      <c r="C22" s="226"/>
      <c r="D22" s="226" t="s">
        <v>141</v>
      </c>
      <c r="E22" s="298">
        <v>0.99750000000000005</v>
      </c>
      <c r="F22" s="298">
        <v>0.98750000000000004</v>
      </c>
      <c r="G22" s="298">
        <v>0.97750000000000004</v>
      </c>
      <c r="H22" s="298">
        <v>0.96750000000000003</v>
      </c>
      <c r="I22" s="298">
        <v>0.96750000000000003</v>
      </c>
      <c r="J22" s="298">
        <v>0.96750000000000003</v>
      </c>
      <c r="K22" s="298">
        <v>0.96750000000000003</v>
      </c>
      <c r="L22" s="298">
        <v>0.96750000000000003</v>
      </c>
      <c r="M22" s="614">
        <v>0.98670000000000002</v>
      </c>
      <c r="N22" s="614">
        <v>0.9718</v>
      </c>
      <c r="O22" s="614">
        <v>0.97889999999999999</v>
      </c>
      <c r="P22" s="614">
        <v>0.96989999999999998</v>
      </c>
      <c r="Q22" s="614">
        <v>0.97489999999999999</v>
      </c>
      <c r="R22" s="515"/>
      <c r="S22" s="515"/>
      <c r="T22" s="515" t="str">
        <f>IF(M22&gt;H22,"Yes","No")</f>
        <v>Yes</v>
      </c>
      <c r="U22" s="515"/>
      <c r="V22" s="515"/>
      <c r="W22" s="515" t="str">
        <f>IF(N22="N/A","N/A",IF(N22&gt;I22,"Yes","No"))</f>
        <v>Yes</v>
      </c>
      <c r="X22" s="515"/>
      <c r="Y22" s="515"/>
      <c r="Z22" s="515" t="str">
        <f>IF(O22="N/A","N/A",IF(O22&gt;J22,"Yes","No"))</f>
        <v>Yes</v>
      </c>
      <c r="AA22" s="515"/>
      <c r="AB22" s="515"/>
      <c r="AC22" s="515" t="str">
        <f>IF(P22="N/A","N/A",IF(P22&gt;K22,"Yes","No"))</f>
        <v>Yes</v>
      </c>
      <c r="AD22" s="515"/>
      <c r="AE22" s="515"/>
      <c r="AF22" s="515" t="str">
        <f>IF(Q22="N/A","N/A",IF(Q22&gt;L22,"Yes","No"))</f>
        <v>Yes</v>
      </c>
      <c r="AG22" s="7"/>
    </row>
    <row r="23" spans="2:33">
      <c r="B23" s="6"/>
      <c r="C23" s="289" t="s">
        <v>142</v>
      </c>
      <c r="D23" s="290"/>
      <c r="E23" s="300"/>
      <c r="F23" s="300"/>
      <c r="G23" s="300"/>
      <c r="H23" s="300"/>
      <c r="I23" s="300"/>
      <c r="J23" s="300"/>
      <c r="K23" s="300"/>
      <c r="L23" s="300"/>
      <c r="M23" s="618"/>
      <c r="N23" s="508"/>
      <c r="O23" s="508"/>
      <c r="P23" s="508"/>
      <c r="Q23" s="508"/>
      <c r="R23" s="508"/>
      <c r="S23" s="508"/>
      <c r="T23" s="508"/>
      <c r="U23" s="508"/>
      <c r="V23" s="508"/>
      <c r="W23" s="508"/>
      <c r="X23" s="508"/>
      <c r="Y23" s="508"/>
      <c r="Z23" s="508"/>
      <c r="AA23" s="508"/>
      <c r="AB23" s="508"/>
      <c r="AC23" s="508"/>
      <c r="AD23" s="508"/>
      <c r="AE23" s="508"/>
      <c r="AF23" s="510"/>
      <c r="AG23" s="473"/>
    </row>
    <row r="24" spans="2:33">
      <c r="B24" s="6"/>
      <c r="C24" s="474"/>
      <c r="D24" s="474" t="s">
        <v>143</v>
      </c>
      <c r="E24" s="475">
        <v>0.99199999999999999</v>
      </c>
      <c r="F24" s="475">
        <v>0.99</v>
      </c>
      <c r="G24" s="475">
        <v>0.98799999999999999</v>
      </c>
      <c r="H24" s="475">
        <v>0.98599999999999999</v>
      </c>
      <c r="I24" s="475">
        <v>0.98599999999999999</v>
      </c>
      <c r="J24" s="475">
        <v>0.98599999999999999</v>
      </c>
      <c r="K24" s="475">
        <v>0.98599999999999999</v>
      </c>
      <c r="L24" s="475">
        <v>0.98599999999999999</v>
      </c>
      <c r="M24" s="615">
        <f>97.94%</f>
        <v>0.97939999999999994</v>
      </c>
      <c r="N24" s="615">
        <v>0.97609999999999997</v>
      </c>
      <c r="O24" s="615">
        <v>0.9869</v>
      </c>
      <c r="P24" s="614">
        <v>0.97909999999999997</v>
      </c>
      <c r="Q24" s="614">
        <v>0.97309999999999997</v>
      </c>
      <c r="R24" s="516"/>
      <c r="S24" s="516"/>
      <c r="T24" s="516" t="str">
        <f>IF(M24&gt;H24,"Yes","No")</f>
        <v>No</v>
      </c>
      <c r="U24" s="516"/>
      <c r="V24" s="516"/>
      <c r="W24" s="515" t="str">
        <f>IF(N24="N/A","N/A",IF(N24&gt;I24,"Yes","No"))</f>
        <v>No</v>
      </c>
      <c r="X24" s="515"/>
      <c r="Y24" s="515"/>
      <c r="Z24" s="515" t="str">
        <f>IF(O24="N/A","N/A",IF(O24&gt;J24,"Yes","No"))</f>
        <v>Yes</v>
      </c>
      <c r="AA24" s="515"/>
      <c r="AB24" s="515"/>
      <c r="AC24" s="515" t="str">
        <f>IF(P24="N/A","N/A",IF(P24&gt;K24,"Yes","No"))</f>
        <v>No</v>
      </c>
      <c r="AD24" s="515"/>
      <c r="AE24" s="515"/>
      <c r="AF24" s="515" t="str">
        <f>IF(Q24="N/A","N/A",IF(Q24&gt;L24,"Yes","No"))</f>
        <v>No</v>
      </c>
      <c r="AG24" s="7"/>
    </row>
    <row r="25" spans="2:33">
      <c r="B25" s="6"/>
      <c r="C25" s="289" t="s">
        <v>144</v>
      </c>
      <c r="D25" s="290"/>
      <c r="E25" s="300"/>
      <c r="F25" s="300"/>
      <c r="G25" s="300"/>
      <c r="H25" s="471"/>
      <c r="I25" s="471"/>
      <c r="J25" s="471"/>
      <c r="K25" s="471"/>
      <c r="L25" s="471"/>
      <c r="M25" s="618"/>
      <c r="N25" s="509"/>
      <c r="O25" s="509"/>
      <c r="P25" s="509"/>
      <c r="Q25" s="509"/>
      <c r="R25" s="507"/>
      <c r="S25" s="507"/>
      <c r="T25" s="507"/>
      <c r="U25" s="507"/>
      <c r="V25" s="507"/>
      <c r="W25" s="507"/>
      <c r="X25" s="507"/>
      <c r="Y25" s="507"/>
      <c r="Z25" s="507"/>
      <c r="AA25" s="507"/>
      <c r="AB25" s="507"/>
      <c r="AC25" s="507"/>
      <c r="AD25" s="507"/>
      <c r="AE25" s="507"/>
      <c r="AF25" s="512"/>
      <c r="AG25" s="473"/>
    </row>
    <row r="26" spans="2:33">
      <c r="B26" s="6"/>
      <c r="C26" s="474"/>
      <c r="D26" s="474" t="s">
        <v>145</v>
      </c>
      <c r="E26" s="475"/>
      <c r="F26" s="475"/>
      <c r="G26" s="475"/>
      <c r="H26" s="476">
        <v>3.2199999999999999E-2</v>
      </c>
      <c r="I26" s="476">
        <v>3.6799999999999999E-2</v>
      </c>
      <c r="J26" s="476">
        <v>5.3699999999999998E-2</v>
      </c>
      <c r="K26" s="476">
        <v>8.6500000000000007E-2</v>
      </c>
      <c r="L26" s="476">
        <v>0.12029999999999999</v>
      </c>
      <c r="M26" s="615">
        <v>1.9699999999999999E-2</v>
      </c>
      <c r="N26" s="615">
        <v>3.4599999999999999E-2</v>
      </c>
      <c r="O26" s="615">
        <v>3.1800000000000002E-2</v>
      </c>
      <c r="P26" s="615">
        <v>4.2099999999999999E-2</v>
      </c>
      <c r="Q26" s="615">
        <v>4.8899999999999999E-2</v>
      </c>
      <c r="R26" s="517"/>
      <c r="S26" s="517"/>
      <c r="T26" s="517" t="str">
        <f>IF(M26&lt;=H26,"Yes","No")</f>
        <v>Yes</v>
      </c>
      <c r="U26" s="517"/>
      <c r="V26" s="517"/>
      <c r="W26" s="517" t="str">
        <f t="shared" ref="W26:W27" si="10">IF(N26="N/A","N/A",IF(N26&lt;=I26,"Yes","No"))</f>
        <v>Yes</v>
      </c>
      <c r="X26" s="517"/>
      <c r="Y26" s="517"/>
      <c r="Z26" s="517" t="str">
        <f t="shared" ref="Z26:Z27" si="11">IF(O26="N/A","N/A",IF(O26&lt;=J26,"Yes","No"))</f>
        <v>Yes</v>
      </c>
      <c r="AA26" s="517"/>
      <c r="AB26" s="517"/>
      <c r="AC26" s="517" t="str">
        <f t="shared" ref="AC26:AC27" si="12">IF(P26="N/A","N/A",IF(P26&lt;=K26,"Yes","No"))</f>
        <v>Yes</v>
      </c>
      <c r="AD26" s="517"/>
      <c r="AE26" s="517"/>
      <c r="AF26" s="517" t="str">
        <f t="shared" ref="AF26:AF27" si="13">IF(Q26="N/A","N/A",IF(Q26&lt;=L26,"Yes","No"))</f>
        <v>Yes</v>
      </c>
      <c r="AG26" s="7"/>
    </row>
    <row r="27" spans="2:33">
      <c r="B27" s="6"/>
      <c r="C27" s="477"/>
      <c r="D27" s="477" t="s">
        <v>146</v>
      </c>
      <c r="E27" s="478"/>
      <c r="F27" s="478"/>
      <c r="G27" s="478"/>
      <c r="H27" s="479">
        <v>0.02</v>
      </c>
      <c r="I27" s="479">
        <v>2.3700000000000002E-2</v>
      </c>
      <c r="J27" s="479">
        <v>5.6500000000000002E-2</v>
      </c>
      <c r="K27" s="479">
        <v>7.6299999999999993E-2</v>
      </c>
      <c r="L27" s="479">
        <v>8.2699999999999996E-2</v>
      </c>
      <c r="M27" s="616">
        <v>1.09E-2</v>
      </c>
      <c r="N27" s="616">
        <v>9.5999999999999992E-3</v>
      </c>
      <c r="O27" s="616">
        <v>3.7000000000000002E-3</v>
      </c>
      <c r="P27" s="616">
        <v>3.7000000000000002E-3</v>
      </c>
      <c r="Q27" s="616">
        <v>3.0000000000000001E-3</v>
      </c>
      <c r="R27" s="518"/>
      <c r="S27" s="518"/>
      <c r="T27" s="518" t="str">
        <f>IF(M27&lt;=H27,"Yes","No")</f>
        <v>Yes</v>
      </c>
      <c r="U27" s="518"/>
      <c r="V27" s="518"/>
      <c r="W27" s="518" t="str">
        <f t="shared" si="10"/>
        <v>Yes</v>
      </c>
      <c r="X27" s="518"/>
      <c r="Y27" s="518"/>
      <c r="Z27" s="518" t="str">
        <f t="shared" si="11"/>
        <v>Yes</v>
      </c>
      <c r="AA27" s="518"/>
      <c r="AB27" s="518"/>
      <c r="AC27" s="518" t="str">
        <f t="shared" si="12"/>
        <v>Yes</v>
      </c>
      <c r="AD27" s="518"/>
      <c r="AE27" s="518"/>
      <c r="AF27" s="518" t="str">
        <f t="shared" si="13"/>
        <v>Yes</v>
      </c>
      <c r="AG27" s="7"/>
    </row>
    <row r="28" spans="2:33">
      <c r="B28" s="6"/>
      <c r="C28" s="403"/>
      <c r="N28" s="548"/>
      <c r="P28" s="620"/>
      <c r="AG28" s="7"/>
    </row>
    <row r="29" spans="2:33" ht="21" customHeight="1">
      <c r="B29" s="736" t="s">
        <v>147</v>
      </c>
      <c r="C29" s="712"/>
      <c r="D29" s="712"/>
      <c r="E29" s="712"/>
      <c r="F29" s="712"/>
      <c r="G29" s="712"/>
      <c r="H29" s="712"/>
      <c r="I29" s="712"/>
      <c r="J29" s="712"/>
      <c r="K29" s="712"/>
      <c r="L29" s="712"/>
      <c r="M29" s="712"/>
      <c r="N29" s="548"/>
      <c r="AG29" s="7"/>
    </row>
    <row r="30" spans="2:33" ht="21" customHeight="1">
      <c r="B30" s="737"/>
      <c r="C30" s="712"/>
      <c r="D30" s="712"/>
      <c r="E30" s="712"/>
      <c r="F30" s="712"/>
      <c r="G30" s="712"/>
      <c r="H30" s="712"/>
      <c r="I30" s="712"/>
      <c r="J30" s="712"/>
      <c r="K30" s="712"/>
      <c r="L30" s="712"/>
      <c r="M30" s="712"/>
      <c r="AG30" s="7"/>
    </row>
    <row r="31" spans="2:33">
      <c r="B31" s="6" t="s">
        <v>148</v>
      </c>
      <c r="C31" s="403"/>
      <c r="AG31" s="7"/>
    </row>
    <row r="32" spans="2:33" ht="246" customHeight="1">
      <c r="B32" s="6"/>
      <c r="C32" s="738" t="s">
        <v>899</v>
      </c>
      <c r="D32" s="734"/>
      <c r="E32" s="734"/>
      <c r="F32" s="734"/>
      <c r="G32" s="734"/>
      <c r="H32" s="734"/>
      <c r="I32" s="734"/>
      <c r="J32" s="735"/>
      <c r="K32" s="626"/>
      <c r="L32" s="619"/>
      <c r="AG32" s="7"/>
    </row>
    <row r="33" spans="2:33">
      <c r="B33" s="736" t="s">
        <v>149</v>
      </c>
      <c r="C33" s="712"/>
      <c r="D33" s="712"/>
      <c r="E33" s="712"/>
      <c r="F33" s="712"/>
      <c r="G33" s="712"/>
      <c r="H33" s="712"/>
      <c r="I33" s="712"/>
      <c r="J33" s="712"/>
      <c r="K33" s="712"/>
      <c r="L33" s="712"/>
      <c r="M33" s="712"/>
      <c r="AG33" s="7"/>
    </row>
    <row r="34" spans="2:33">
      <c r="B34" s="737"/>
      <c r="C34" s="712"/>
      <c r="D34" s="712"/>
      <c r="E34" s="712"/>
      <c r="F34" s="712"/>
      <c r="G34" s="712"/>
      <c r="H34" s="712"/>
      <c r="I34" s="712"/>
      <c r="J34" s="712"/>
      <c r="K34" s="712"/>
      <c r="L34" s="712"/>
      <c r="M34" s="712"/>
      <c r="AG34" s="7"/>
    </row>
    <row r="35" spans="2:33">
      <c r="B35" s="6" t="s">
        <v>150</v>
      </c>
      <c r="C35" s="403"/>
      <c r="AG35" s="7"/>
    </row>
    <row r="36" spans="2:33" ht="31.5" customHeight="1">
      <c r="B36" s="6"/>
      <c r="C36" s="733" t="s">
        <v>151</v>
      </c>
      <c r="D36" s="734"/>
      <c r="E36" s="734"/>
      <c r="F36" s="734"/>
      <c r="G36" s="734"/>
      <c r="H36" s="734"/>
      <c r="I36" s="734"/>
      <c r="J36" s="735"/>
      <c r="AG36" s="7"/>
    </row>
    <row r="37" spans="2:33">
      <c r="B37" s="736" t="s">
        <v>152</v>
      </c>
      <c r="C37" s="712"/>
      <c r="D37" s="712"/>
      <c r="E37" s="712"/>
      <c r="F37" s="712"/>
      <c r="G37" s="712"/>
      <c r="H37" s="712"/>
      <c r="I37" s="712"/>
      <c r="J37" s="712"/>
      <c r="K37" s="712"/>
      <c r="L37" s="712"/>
      <c r="M37" s="712"/>
      <c r="AG37" s="7"/>
    </row>
    <row r="38" spans="2:33" ht="12.75" customHeight="1">
      <c r="B38" s="737"/>
      <c r="C38" s="712"/>
      <c r="D38" s="712"/>
      <c r="E38" s="712"/>
      <c r="F38" s="712"/>
      <c r="G38" s="712"/>
      <c r="H38" s="712"/>
      <c r="I38" s="712"/>
      <c r="J38" s="712"/>
      <c r="K38" s="712"/>
      <c r="L38" s="712"/>
      <c r="M38" s="712"/>
      <c r="AG38" s="7"/>
    </row>
    <row r="39" spans="2:33">
      <c r="B39" s="6" t="s">
        <v>153</v>
      </c>
      <c r="C39" s="403"/>
      <c r="AG39" s="7"/>
    </row>
    <row r="40" spans="2:33" ht="172.5" customHeight="1">
      <c r="B40" s="6"/>
      <c r="C40" s="738" t="s">
        <v>903</v>
      </c>
      <c r="D40" s="734"/>
      <c r="E40" s="734"/>
      <c r="F40" s="734"/>
      <c r="G40" s="734"/>
      <c r="H40" s="734"/>
      <c r="I40" s="734"/>
      <c r="J40" s="735"/>
      <c r="AG40" s="7"/>
    </row>
    <row r="41" spans="2:33">
      <c r="B41" s="736" t="s">
        <v>154</v>
      </c>
      <c r="C41" s="712"/>
      <c r="D41" s="712"/>
      <c r="E41" s="712"/>
      <c r="F41" s="712"/>
      <c r="G41" s="712"/>
      <c r="H41" s="712"/>
      <c r="I41" s="712"/>
      <c r="J41" s="712"/>
      <c r="K41" s="712"/>
      <c r="L41" s="712"/>
      <c r="M41" s="712"/>
      <c r="AG41" s="7"/>
    </row>
    <row r="42" spans="2:33" ht="12.75" customHeight="1">
      <c r="B42" s="737"/>
      <c r="C42" s="712"/>
      <c r="D42" s="712"/>
      <c r="E42" s="712"/>
      <c r="F42" s="712"/>
      <c r="G42" s="712"/>
      <c r="H42" s="712"/>
      <c r="I42" s="712"/>
      <c r="J42" s="712"/>
      <c r="K42" s="712"/>
      <c r="L42" s="712"/>
      <c r="M42" s="712"/>
      <c r="AG42" s="7"/>
    </row>
    <row r="43" spans="2:33" ht="62.25" customHeight="1">
      <c r="B43" s="717" t="s">
        <v>155</v>
      </c>
      <c r="C43" s="739"/>
      <c r="D43" s="739"/>
      <c r="E43" s="739"/>
      <c r="F43" s="739"/>
      <c r="G43" s="739"/>
      <c r="H43" s="739"/>
      <c r="I43" s="739"/>
      <c r="J43" s="739"/>
      <c r="AG43" s="7"/>
    </row>
    <row r="44" spans="2:33" ht="31.5" customHeight="1">
      <c r="B44" s="6"/>
      <c r="C44" s="733" t="s">
        <v>156</v>
      </c>
      <c r="D44" s="734"/>
      <c r="E44" s="734"/>
      <c r="F44" s="734"/>
      <c r="G44" s="734"/>
      <c r="H44" s="734"/>
      <c r="I44" s="734"/>
      <c r="J44" s="735"/>
      <c r="AG44" s="7"/>
    </row>
    <row r="45" spans="2:33" ht="48" customHeight="1">
      <c r="B45" s="717" t="s">
        <v>157</v>
      </c>
      <c r="C45" s="739"/>
      <c r="D45" s="739"/>
      <c r="E45" s="739"/>
      <c r="F45" s="739"/>
      <c r="G45" s="739"/>
      <c r="H45" s="739"/>
      <c r="I45" s="739"/>
      <c r="J45" s="739"/>
      <c r="AG45" s="7"/>
    </row>
    <row r="46" spans="2:33" ht="31.5" customHeight="1">
      <c r="B46" s="6"/>
      <c r="C46" s="733" t="s">
        <v>158</v>
      </c>
      <c r="D46" s="734"/>
      <c r="E46" s="734"/>
      <c r="F46" s="734"/>
      <c r="G46" s="734"/>
      <c r="H46" s="734"/>
      <c r="I46" s="734"/>
      <c r="J46" s="735"/>
      <c r="AG46" s="7"/>
    </row>
    <row r="47" spans="2:33" ht="48" customHeight="1">
      <c r="B47" s="717" t="s">
        <v>159</v>
      </c>
      <c r="C47" s="739"/>
      <c r="D47" s="739"/>
      <c r="E47" s="739"/>
      <c r="F47" s="739"/>
      <c r="G47" s="739"/>
      <c r="H47" s="739"/>
      <c r="I47" s="739"/>
      <c r="J47" s="739"/>
      <c r="AG47" s="7"/>
    </row>
    <row r="48" spans="2:33" ht="31.5" customHeight="1">
      <c r="B48" s="6"/>
      <c r="C48" s="733" t="s">
        <v>160</v>
      </c>
      <c r="D48" s="734"/>
      <c r="E48" s="734"/>
      <c r="F48" s="734"/>
      <c r="G48" s="734"/>
      <c r="H48" s="734"/>
      <c r="I48" s="734"/>
      <c r="J48" s="735"/>
      <c r="AG48" s="7"/>
    </row>
    <row r="49" spans="2:33" ht="48" customHeight="1">
      <c r="B49" s="717" t="s">
        <v>161</v>
      </c>
      <c r="C49" s="739"/>
      <c r="D49" s="739"/>
      <c r="E49" s="739"/>
      <c r="F49" s="739"/>
      <c r="G49" s="739"/>
      <c r="H49" s="739"/>
      <c r="I49" s="739"/>
      <c r="J49" s="739"/>
      <c r="AG49" s="7"/>
    </row>
    <row r="50" spans="2:33" ht="31.5" customHeight="1">
      <c r="B50" s="6"/>
      <c r="C50" s="733" t="s">
        <v>162</v>
      </c>
      <c r="D50" s="744"/>
      <c r="E50" s="744"/>
      <c r="F50" s="744"/>
      <c r="G50" s="744"/>
      <c r="H50" s="744"/>
      <c r="I50" s="744"/>
      <c r="J50" s="745"/>
      <c r="AG50" s="7"/>
    </row>
    <row r="51" spans="2:33" ht="32.25" customHeight="1">
      <c r="B51" s="717" t="s">
        <v>163</v>
      </c>
      <c r="C51" s="739"/>
      <c r="D51" s="739"/>
      <c r="E51" s="739"/>
      <c r="F51" s="739"/>
      <c r="G51" s="739"/>
      <c r="H51" s="739"/>
      <c r="I51" s="739"/>
      <c r="J51" s="739"/>
      <c r="AG51" s="7"/>
    </row>
    <row r="52" spans="2:33" ht="31.5" customHeight="1">
      <c r="B52" s="6"/>
      <c r="C52" s="733" t="s">
        <v>164</v>
      </c>
      <c r="D52" s="734"/>
      <c r="E52" s="734"/>
      <c r="F52" s="734"/>
      <c r="G52" s="734"/>
      <c r="H52" s="734"/>
      <c r="I52" s="734"/>
      <c r="J52" s="735"/>
      <c r="AG52" s="7"/>
    </row>
    <row r="53" spans="2:33">
      <c r="B53" s="9"/>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23"/>
    </row>
    <row r="54" spans="2:33">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row>
  </sheetData>
  <autoFilter ref="C5:AF27" xr:uid="{C344C3CE-2CE0-472B-98D1-359D1C73F3BA}">
    <filterColumn colId="0" showButton="0"/>
  </autoFilter>
  <mergeCells count="19">
    <mergeCell ref="B49:J49"/>
    <mergeCell ref="C50:J50"/>
    <mergeCell ref="B51:J51"/>
    <mergeCell ref="C52:J52"/>
    <mergeCell ref="B45:J45"/>
    <mergeCell ref="C46:J46"/>
    <mergeCell ref="B47:J47"/>
    <mergeCell ref="C48:J48"/>
    <mergeCell ref="C5:D5"/>
    <mergeCell ref="B2:F2"/>
    <mergeCell ref="B29:M30"/>
    <mergeCell ref="C32:J32"/>
    <mergeCell ref="B33:M34"/>
    <mergeCell ref="C44:J44"/>
    <mergeCell ref="C36:J36"/>
    <mergeCell ref="B37:M38"/>
    <mergeCell ref="C40:J40"/>
    <mergeCell ref="B41:M42"/>
    <mergeCell ref="B43:J43"/>
  </mergeCells>
  <hyperlinks>
    <hyperlink ref="B2" location="Contents!A1" display="The Annual Compliance Statement " xr:uid="{257EA05E-D699-4B67-B242-7108AAF71AD1}"/>
    <hyperlink ref="B29" location="Contents!A1" display="A description and explanation of any voluntary revenue reduction Transpower has made in calculating the ex-post economic gain or loss for the disclosure year " xr:uid="{B92C668E-77DD-48DF-A123-C3F4867FF3D9}"/>
    <hyperlink ref="B33" location="Contents!A1" display="A description and explanation of any voluntary revenue reduction Transpower has made in calculating the ex-post economic gain or loss for the disclosure year " xr:uid="{B8E53969-3C15-464B-B3C1-B70720F121D9}"/>
    <hyperlink ref="B37" location="Contents!A1" display="A description and explanation of any voluntary revenue reduction Transpower has made in calculating the ex-post economic gain or loss for the disclosure year " xr:uid="{EC72812D-BF05-4668-9321-2ACDE77E0535}"/>
    <hyperlink ref="B41" location="Contents!A1" display="A description and explanation of any voluntary revenue reduction Transpower has made in calculating the ex-post economic gain or loss for the disclosure year " xr:uid="{90AAA62D-8902-4B29-AF14-9BDA84A339A3}"/>
  </hyperlinks>
  <pageMargins left="0.23622047244094491" right="0.23622047244094491" top="0.74803149606299213" bottom="0.74803149606299213" header="0.31496062992125984" footer="0.31496062992125984"/>
  <pageSetup paperSize="8" scale="45" fitToHeight="0" orientation="landscape" r:id="rId1"/>
  <headerFooter>
    <oddFooter>&amp;L&amp;F&amp;C&amp;D&amp;RSheet: &amp;A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87F8E-59F6-4A8A-800F-5CC130F3E975}">
  <sheetPr codeName="Sheet5">
    <tabColor rgb="FFC00000"/>
    <pageSetUpPr fitToPage="1"/>
  </sheetPr>
  <dimension ref="B2:T41"/>
  <sheetViews>
    <sheetView view="pageBreakPreview" topLeftCell="A15" zoomScale="85" zoomScaleNormal="100" zoomScaleSheetLayoutView="85" workbookViewId="0">
      <selection activeCell="J5" sqref="J5"/>
    </sheetView>
  </sheetViews>
  <sheetFormatPr defaultColWidth="9.140625" defaultRowHeight="15"/>
  <cols>
    <col min="1" max="1" width="9.140625" style="2"/>
    <col min="2" max="2" width="39.28515625" style="2" bestFit="1" customWidth="1"/>
    <col min="3" max="3" width="39.28515625" style="2" customWidth="1"/>
    <col min="4" max="16384" width="9.140625" style="2"/>
  </cols>
  <sheetData>
    <row r="2" spans="2:20" ht="18.75">
      <c r="B2" s="375" t="s">
        <v>912</v>
      </c>
      <c r="C2" s="19"/>
      <c r="D2" s="4"/>
      <c r="E2" s="4"/>
      <c r="F2" s="4"/>
      <c r="G2" s="4"/>
      <c r="H2" s="4"/>
      <c r="I2" s="4"/>
      <c r="J2" s="4"/>
      <c r="K2" s="4"/>
      <c r="L2" s="4"/>
      <c r="M2" s="4"/>
      <c r="N2" s="4"/>
      <c r="O2" s="4"/>
      <c r="P2" s="4"/>
      <c r="Q2" s="4"/>
      <c r="R2" s="5"/>
      <c r="T2" s="25"/>
    </row>
    <row r="3" spans="2:20">
      <c r="B3" s="6" t="s">
        <v>17</v>
      </c>
      <c r="R3" s="7"/>
    </row>
    <row r="4" spans="2:20">
      <c r="B4" s="6"/>
      <c r="R4" s="7"/>
    </row>
    <row r="5" spans="2:20">
      <c r="B5" s="6"/>
      <c r="R5" s="7"/>
    </row>
    <row r="6" spans="2:20">
      <c r="B6" s="6"/>
      <c r="R6" s="7"/>
    </row>
    <row r="7" spans="2:20">
      <c r="B7" s="6"/>
      <c r="R7" s="7"/>
    </row>
    <row r="8" spans="2:20">
      <c r="B8" s="6"/>
      <c r="R8" s="7"/>
    </row>
    <row r="9" spans="2:20">
      <c r="B9" s="6"/>
      <c r="R9" s="7"/>
    </row>
    <row r="10" spans="2:20">
      <c r="B10" s="6"/>
      <c r="R10" s="7"/>
    </row>
    <row r="11" spans="2:20">
      <c r="B11" s="6"/>
      <c r="R11" s="7"/>
    </row>
    <row r="12" spans="2:20">
      <c r="B12" s="6"/>
      <c r="R12" s="7"/>
    </row>
    <row r="13" spans="2:20">
      <c r="B13" s="6"/>
      <c r="R13" s="7"/>
    </row>
    <row r="14" spans="2:20">
      <c r="B14" s="6"/>
      <c r="R14" s="7"/>
    </row>
    <row r="15" spans="2:20">
      <c r="B15" s="6"/>
      <c r="R15" s="7"/>
    </row>
    <row r="16" spans="2:20">
      <c r="B16" s="6"/>
      <c r="R16" s="7"/>
    </row>
    <row r="17" spans="2:18">
      <c r="B17" s="6"/>
      <c r="R17" s="7"/>
    </row>
    <row r="18" spans="2:18" ht="47.25" customHeight="1">
      <c r="B18" s="6"/>
      <c r="R18" s="7"/>
    </row>
    <row r="19" spans="2:18">
      <c r="B19" s="6"/>
      <c r="R19" s="7"/>
    </row>
    <row r="20" spans="2:18">
      <c r="B20" s="6"/>
      <c r="R20" s="7"/>
    </row>
    <row r="21" spans="2:18">
      <c r="B21" s="6"/>
      <c r="R21" s="7"/>
    </row>
    <row r="22" spans="2:18">
      <c r="B22" s="6"/>
      <c r="R22" s="7"/>
    </row>
    <row r="23" spans="2:18">
      <c r="B23" s="6"/>
      <c r="R23" s="7"/>
    </row>
    <row r="24" spans="2:18">
      <c r="B24" s="6"/>
      <c r="R24" s="7"/>
    </row>
    <row r="25" spans="2:18">
      <c r="B25" s="6"/>
      <c r="R25" s="7"/>
    </row>
    <row r="26" spans="2:18">
      <c r="B26" s="6"/>
      <c r="R26" s="7"/>
    </row>
    <row r="27" spans="2:18">
      <c r="B27" s="6"/>
      <c r="R27" s="7"/>
    </row>
    <row r="28" spans="2:18">
      <c r="B28" s="6"/>
      <c r="R28" s="7"/>
    </row>
    <row r="29" spans="2:18">
      <c r="B29" s="6"/>
      <c r="R29" s="7"/>
    </row>
    <row r="30" spans="2:18">
      <c r="B30" s="6"/>
      <c r="R30" s="7"/>
    </row>
    <row r="31" spans="2:18">
      <c r="B31" s="6"/>
      <c r="R31" s="7"/>
    </row>
    <row r="32" spans="2:18">
      <c r="B32" s="6"/>
      <c r="R32" s="7"/>
    </row>
    <row r="33" spans="2:18">
      <c r="B33" s="6"/>
      <c r="R33" s="7"/>
    </row>
    <row r="34" spans="2:18">
      <c r="B34" s="6"/>
      <c r="R34" s="7"/>
    </row>
    <row r="35" spans="2:18">
      <c r="B35" s="6"/>
      <c r="R35" s="7"/>
    </row>
    <row r="36" spans="2:18">
      <c r="B36" s="6"/>
      <c r="R36" s="7"/>
    </row>
    <row r="37" spans="2:18">
      <c r="B37" s="6"/>
      <c r="R37" s="7"/>
    </row>
    <row r="38" spans="2:18">
      <c r="B38" s="6"/>
      <c r="R38" s="7"/>
    </row>
    <row r="39" spans="2:18">
      <c r="B39" s="6"/>
      <c r="R39" s="7"/>
    </row>
    <row r="40" spans="2:18">
      <c r="B40" s="6"/>
      <c r="R40" s="7"/>
    </row>
    <row r="41" spans="2:18">
      <c r="B41" s="9"/>
      <c r="C41" s="10"/>
      <c r="D41" s="10"/>
      <c r="E41" s="10"/>
      <c r="F41" s="10"/>
      <c r="G41" s="10"/>
      <c r="H41" s="10"/>
      <c r="I41" s="10"/>
      <c r="J41" s="10"/>
      <c r="K41" s="10"/>
      <c r="L41" s="10"/>
      <c r="M41" s="10"/>
      <c r="N41" s="10"/>
      <c r="O41" s="10"/>
      <c r="P41" s="10"/>
      <c r="Q41" s="10"/>
      <c r="R41" s="23"/>
    </row>
  </sheetData>
  <hyperlinks>
    <hyperlink ref="B2" location="Contents!A1" display="The Independent Assurance Report " xr:uid="{0D8E68A9-6B90-4FC5-806C-DF71BC80B7FC}"/>
  </hyperlinks>
  <pageMargins left="0.70866141732283472" right="0.70866141732283472" top="0.74803149606299213" bottom="0.74803149606299213" header="0.31496062992125984" footer="0.31496062992125984"/>
  <pageSetup paperSize="9" scale="60" orientation="landscape" r:id="rId1"/>
  <headerFooter>
    <oddFooter>&amp;L&amp;F&amp;C&amp;D&amp;RSheet: &amp;A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44FA5-083A-4FB4-B356-FBE7BC07155B}">
  <sheetPr codeName="Sheet6">
    <tabColor rgb="FF92D050"/>
    <pageSetUpPr fitToPage="1"/>
  </sheetPr>
  <dimension ref="A2:Q58"/>
  <sheetViews>
    <sheetView view="pageBreakPreview" zoomScale="70" zoomScaleNormal="100" zoomScaleSheetLayoutView="70" workbookViewId="0">
      <selection activeCell="M58" sqref="M58"/>
    </sheetView>
  </sheetViews>
  <sheetFormatPr defaultColWidth="9.140625" defaultRowHeight="15"/>
  <cols>
    <col min="1" max="1" width="9.140625" style="2"/>
    <col min="2" max="2" width="23.5703125" style="2" customWidth="1"/>
    <col min="3" max="3" width="53.5703125" style="2" customWidth="1"/>
    <col min="4" max="4" width="74.5703125" style="2" bestFit="1" customWidth="1"/>
    <col min="5" max="5" width="11.28515625" style="2" customWidth="1"/>
    <col min="6" max="6" width="10.7109375" style="2" customWidth="1"/>
    <col min="7" max="8" width="9.140625" style="2"/>
    <col min="9" max="9" width="9.140625" style="2" customWidth="1"/>
    <col min="10" max="16384" width="9.140625" style="2"/>
  </cols>
  <sheetData>
    <row r="2" spans="2:13" ht="18.75">
      <c r="B2" s="742" t="s">
        <v>165</v>
      </c>
      <c r="C2" s="743"/>
      <c r="D2" s="743"/>
      <c r="E2" s="743"/>
      <c r="F2" s="743"/>
      <c r="G2" s="743"/>
      <c r="H2" s="743"/>
      <c r="I2" s="743"/>
      <c r="J2" s="743"/>
      <c r="K2" s="743"/>
      <c r="L2" s="743"/>
      <c r="M2" s="749"/>
    </row>
    <row r="3" spans="2:13">
      <c r="B3" s="6" t="s">
        <v>20</v>
      </c>
      <c r="M3" s="7"/>
    </row>
    <row r="4" spans="2:13">
      <c r="B4" s="6"/>
      <c r="M4" s="7"/>
    </row>
    <row r="5" spans="2:13">
      <c r="B5" s="24" t="s">
        <v>166</v>
      </c>
      <c r="M5" s="7"/>
    </row>
    <row r="6" spans="2:13">
      <c r="B6" s="24"/>
      <c r="M6" s="7"/>
    </row>
    <row r="7" spans="2:13">
      <c r="B7" s="6"/>
      <c r="C7" s="136" t="s">
        <v>167</v>
      </c>
      <c r="M7" s="7"/>
    </row>
    <row r="8" spans="2:13" ht="60">
      <c r="B8" s="24"/>
      <c r="C8" s="30" t="s">
        <v>168</v>
      </c>
      <c r="D8" s="61" t="s">
        <v>169</v>
      </c>
      <c r="E8" s="61" t="s">
        <v>170</v>
      </c>
      <c r="F8" s="32" t="s">
        <v>171</v>
      </c>
      <c r="G8" s="153" t="s">
        <v>172</v>
      </c>
      <c r="H8" s="153" t="s">
        <v>173</v>
      </c>
      <c r="I8" s="154" t="s">
        <v>174</v>
      </c>
      <c r="J8" s="30" t="s">
        <v>175</v>
      </c>
      <c r="K8" s="31" t="s">
        <v>176</v>
      </c>
      <c r="L8" s="52" t="s">
        <v>177</v>
      </c>
      <c r="M8" s="7"/>
    </row>
    <row r="9" spans="2:13">
      <c r="B9" s="33" t="s">
        <v>178</v>
      </c>
      <c r="C9" s="34" t="s">
        <v>179</v>
      </c>
      <c r="D9" s="62" t="s">
        <v>180</v>
      </c>
      <c r="E9" s="62"/>
      <c r="F9" s="36" t="s">
        <v>181</v>
      </c>
      <c r="G9" s="156" t="s">
        <v>182</v>
      </c>
      <c r="H9" s="156" t="s">
        <v>182</v>
      </c>
      <c r="I9" s="157" t="s">
        <v>182</v>
      </c>
      <c r="J9" s="34" t="s">
        <v>183</v>
      </c>
      <c r="K9" s="35" t="s">
        <v>183</v>
      </c>
      <c r="L9" s="53" t="s">
        <v>183</v>
      </c>
      <c r="M9" s="7"/>
    </row>
    <row r="10" spans="2:13">
      <c r="B10" s="6"/>
      <c r="C10" s="6" t="s">
        <v>184</v>
      </c>
      <c r="D10" s="68" t="s">
        <v>184</v>
      </c>
      <c r="E10" s="68" t="s">
        <v>185</v>
      </c>
      <c r="F10" s="64">
        <f>+'5'!G10</f>
        <v>4.5699999999999998E-2</v>
      </c>
      <c r="G10" s="494"/>
      <c r="H10" s="494"/>
      <c r="I10" s="495"/>
      <c r="J10" s="268"/>
      <c r="K10" s="496"/>
      <c r="L10" s="497"/>
      <c r="M10" s="7"/>
    </row>
    <row r="11" spans="2:13">
      <c r="B11" s="6"/>
      <c r="C11" s="12" t="s">
        <v>186</v>
      </c>
      <c r="D11" s="69" t="s">
        <v>187</v>
      </c>
      <c r="E11" s="69" t="s">
        <v>188</v>
      </c>
      <c r="F11" s="65">
        <f>+F10</f>
        <v>4.5699999999999998E-2</v>
      </c>
      <c r="G11" s="162">
        <f>+'12'!E9+'12'!E10</f>
        <v>4542.6955517097313</v>
      </c>
      <c r="H11" s="162">
        <f>+'12'!F9+'12'!F10</f>
        <v>507.51672579225914</v>
      </c>
      <c r="I11" s="163">
        <f t="shared" ref="I11:I26" si="0">+SUM(G11:H11)</f>
        <v>5050.2122775019907</v>
      </c>
      <c r="J11" s="40">
        <f>+G11*$F$11</f>
        <v>207.60118671313469</v>
      </c>
      <c r="K11" s="38">
        <f>+H11*$F$11</f>
        <v>23.193514368706243</v>
      </c>
      <c r="L11" s="55">
        <f>+I11*$F$11</f>
        <v>230.79470108184097</v>
      </c>
      <c r="M11" s="7"/>
    </row>
    <row r="12" spans="2:13">
      <c r="B12" s="6"/>
      <c r="C12" s="6" t="s">
        <v>189</v>
      </c>
      <c r="D12" s="68" t="s">
        <v>190</v>
      </c>
      <c r="E12" s="68" t="s">
        <v>191</v>
      </c>
      <c r="F12" s="66">
        <f>(1+$F$10)^(349.5/365)-1</f>
        <v>4.3717512535107916E-2</v>
      </c>
      <c r="G12" s="165">
        <f>+'12'!E12</f>
        <v>31.32691756286669</v>
      </c>
      <c r="H12" s="165">
        <f>+'12'!F12</f>
        <v>0.90759278416666656</v>
      </c>
      <c r="I12" s="166">
        <f t="shared" si="0"/>
        <v>32.234510347033357</v>
      </c>
      <c r="J12" s="41">
        <f>+G12*$F$12</f>
        <v>1.3695349112409168</v>
      </c>
      <c r="K12" s="37">
        <f>+H12*$F$12</f>
        <v>3.9677698918579737E-2</v>
      </c>
      <c r="L12" s="56">
        <f>+I12*$F$12</f>
        <v>1.4092126101594966</v>
      </c>
      <c r="M12" s="7"/>
    </row>
    <row r="13" spans="2:13">
      <c r="B13" s="6"/>
      <c r="C13" s="12" t="s">
        <v>192</v>
      </c>
      <c r="D13" s="69" t="s">
        <v>193</v>
      </c>
      <c r="E13" s="69" t="s">
        <v>194</v>
      </c>
      <c r="F13" s="65">
        <f>(1+$F$10)^(318.5/365)-1</f>
        <v>3.9763805959994292E-2</v>
      </c>
      <c r="G13" s="162">
        <f>+'12'!E13</f>
        <v>25.572268980394831</v>
      </c>
      <c r="H13" s="162">
        <f>+'12'!F13</f>
        <v>0.84063910613849757</v>
      </c>
      <c r="I13" s="163">
        <f t="shared" si="0"/>
        <v>26.412908086533328</v>
      </c>
      <c r="J13" s="40">
        <f>+G13*$F$13</f>
        <v>1.0168507416932011</v>
      </c>
      <c r="K13" s="38">
        <f>+H13*$F$13</f>
        <v>3.3427010298874266E-2</v>
      </c>
      <c r="L13" s="55">
        <f>+I13*$F$13</f>
        <v>1.0502777519920754</v>
      </c>
      <c r="M13" s="7"/>
    </row>
    <row r="14" spans="2:13">
      <c r="B14" s="6"/>
      <c r="C14" s="6" t="s">
        <v>195</v>
      </c>
      <c r="D14" s="68" t="s">
        <v>196</v>
      </c>
      <c r="E14" s="68" t="s">
        <v>197</v>
      </c>
      <c r="F14" s="66">
        <f>(1+$F$10)^(288/365)-1</f>
        <v>3.5888485781064627E-2</v>
      </c>
      <c r="G14" s="165">
        <f>+'12'!E14</f>
        <v>15.809712921966662</v>
      </c>
      <c r="H14" s="165">
        <f>+'12'!F14</f>
        <v>1.211744874166667</v>
      </c>
      <c r="I14" s="166">
        <f t="shared" si="0"/>
        <v>17.02145779613333</v>
      </c>
      <c r="J14" s="41">
        <f>+G14*$F$14</f>
        <v>0.56738665740271421</v>
      </c>
      <c r="K14" s="37">
        <f>+H14*$F$14</f>
        <v>4.3487688686808378E-2</v>
      </c>
      <c r="L14" s="56">
        <f>+I14*$F$14</f>
        <v>0.61087434608952262</v>
      </c>
      <c r="M14" s="7"/>
    </row>
    <row r="15" spans="2:13">
      <c r="B15" s="6"/>
      <c r="C15" s="12" t="s">
        <v>198</v>
      </c>
      <c r="D15" s="69" t="s">
        <v>199</v>
      </c>
      <c r="E15" s="69" t="s">
        <v>200</v>
      </c>
      <c r="F15" s="65">
        <f>(1+$F$10)^(257.5/365)-1</f>
        <v>3.2027609369462695E-2</v>
      </c>
      <c r="G15" s="162">
        <f>+'12'!E15</f>
        <v>23.149101430758225</v>
      </c>
      <c r="H15" s="162">
        <f>+'12'!F15</f>
        <v>1.3322894855751175</v>
      </c>
      <c r="I15" s="163">
        <f t="shared" si="0"/>
        <v>24.481390916333343</v>
      </c>
      <c r="J15" s="40">
        <f>+G15*$F$15</f>
        <v>0.74141037787839448</v>
      </c>
      <c r="K15" s="38">
        <f>+H15*$F$15</f>
        <v>4.267004721104227E-2</v>
      </c>
      <c r="L15" s="55">
        <f>+I15*$F$15</f>
        <v>0.78408042508943665</v>
      </c>
      <c r="M15" s="7"/>
    </row>
    <row r="16" spans="2:13">
      <c r="B16" s="6"/>
      <c r="C16" s="6" t="s">
        <v>201</v>
      </c>
      <c r="D16" s="68" t="s">
        <v>202</v>
      </c>
      <c r="E16" s="68" t="s">
        <v>203</v>
      </c>
      <c r="F16" s="66">
        <f>(1+$F$10)^(227/365)-1</f>
        <v>2.8181122891594246E-2</v>
      </c>
      <c r="G16" s="165">
        <f>+'12'!E16</f>
        <v>23.460069672766672</v>
      </c>
      <c r="H16" s="165">
        <f>+'12'!F16</f>
        <v>3.6943664941666667</v>
      </c>
      <c r="I16" s="166">
        <f t="shared" si="0"/>
        <v>27.154436166933337</v>
      </c>
      <c r="J16" s="41">
        <f>+G16*$F$16</f>
        <v>0.66113110649360074</v>
      </c>
      <c r="K16" s="37">
        <f>+H16*$F$16</f>
        <v>0.10411139617869904</v>
      </c>
      <c r="L16" s="56">
        <f>+I16*$F$16</f>
        <v>0.76524250267229976</v>
      </c>
      <c r="M16" s="7"/>
    </row>
    <row r="17" spans="2:13">
      <c r="B17" s="6"/>
      <c r="C17" s="12" t="s">
        <v>204</v>
      </c>
      <c r="D17" s="69" t="s">
        <v>205</v>
      </c>
      <c r="E17" s="69" t="s">
        <v>206</v>
      </c>
      <c r="F17" s="65">
        <f>(1+$F$10)^(196.5/365)-1</f>
        <v>2.4348972714508976E-2</v>
      </c>
      <c r="G17" s="162">
        <f>+'12'!E17</f>
        <v>21.081501419423013</v>
      </c>
      <c r="H17" s="162">
        <f>+'12'!F17</f>
        <v>9.6454232181103308</v>
      </c>
      <c r="I17" s="163">
        <f t="shared" si="0"/>
        <v>30.726924637533344</v>
      </c>
      <c r="J17" s="40">
        <f>+G17*$F$17</f>
        <v>0.51331290284241315</v>
      </c>
      <c r="K17" s="38">
        <f>+H17*$F$17</f>
        <v>0.23485614675765981</v>
      </c>
      <c r="L17" s="55">
        <f>+I17*$F$17</f>
        <v>0.74816904960007302</v>
      </c>
      <c r="M17" s="7"/>
    </row>
    <row r="18" spans="2:13">
      <c r="B18" s="6"/>
      <c r="C18" s="6" t="s">
        <v>207</v>
      </c>
      <c r="D18" s="68" t="s">
        <v>208</v>
      </c>
      <c r="E18" s="68" t="s">
        <v>209</v>
      </c>
      <c r="F18" s="66">
        <f>(1+$F$10)^(165.5/365)-1</f>
        <v>2.0468636110023697E-2</v>
      </c>
      <c r="G18" s="165">
        <f>+'12'!E18</f>
        <v>32.752416199166653</v>
      </c>
      <c r="H18" s="165">
        <f>+'12'!F18</f>
        <v>0.18165567416666667</v>
      </c>
      <c r="I18" s="166">
        <f t="shared" si="0"/>
        <v>32.934071873333323</v>
      </c>
      <c r="J18" s="41">
        <f>+G18*$F$18</f>
        <v>0.67039728890478767</v>
      </c>
      <c r="K18" s="37">
        <f>+H18*$F$18</f>
        <v>3.7182438918385323E-3</v>
      </c>
      <c r="L18" s="56">
        <f>+I18*$F$18</f>
        <v>0.67411553279662628</v>
      </c>
      <c r="M18" s="7"/>
    </row>
    <row r="19" spans="2:13">
      <c r="B19" s="6"/>
      <c r="C19" s="12" t="s">
        <v>210</v>
      </c>
      <c r="D19" s="69" t="s">
        <v>211</v>
      </c>
      <c r="E19" s="69" t="s">
        <v>212</v>
      </c>
      <c r="F19" s="65">
        <f>(1+$F$10)^(136/365)-1</f>
        <v>1.6789708004335102E-2</v>
      </c>
      <c r="G19" s="162">
        <f>+'12'!E19</f>
        <v>41.723179888225914</v>
      </c>
      <c r="H19" s="162">
        <f>+'12'!F19</f>
        <v>2.3020143971074503</v>
      </c>
      <c r="I19" s="163">
        <f t="shared" si="0"/>
        <v>44.025194285333363</v>
      </c>
      <c r="J19" s="40">
        <f>+G19*$F$19</f>
        <v>0.70052000733566</v>
      </c>
      <c r="K19" s="38">
        <f>+H19*$F$19</f>
        <v>3.8650149549209603E-2</v>
      </c>
      <c r="L19" s="55">
        <f>+I19*$F$19</f>
        <v>0.73917015688486953</v>
      </c>
      <c r="M19" s="7"/>
    </row>
    <row r="20" spans="2:13">
      <c r="B20" s="6"/>
      <c r="C20" s="6" t="s">
        <v>213</v>
      </c>
      <c r="D20" s="68" t="s">
        <v>214</v>
      </c>
      <c r="E20" s="68" t="s">
        <v>215</v>
      </c>
      <c r="F20" s="66">
        <f>(1+$F$10)^(106.5/365)-1</f>
        <v>1.3124042934400615E-2</v>
      </c>
      <c r="G20" s="165">
        <f>+'12'!E20</f>
        <v>29.296678222107463</v>
      </c>
      <c r="H20" s="165">
        <f>+'12'!F20</f>
        <v>9.6796892112258828</v>
      </c>
      <c r="I20" s="166">
        <f t="shared" si="0"/>
        <v>38.976367433333344</v>
      </c>
      <c r="J20" s="41">
        <f>+G20*$F$20</f>
        <v>0.38449086282225781</v>
      </c>
      <c r="K20" s="37">
        <f>+H20*$F$20</f>
        <v>0.1270366567997829</v>
      </c>
      <c r="L20" s="56">
        <f>+I20*$F$20</f>
        <v>0.51152751962204068</v>
      </c>
      <c r="M20" s="7"/>
    </row>
    <row r="21" spans="2:13">
      <c r="B21" s="6"/>
      <c r="C21" s="12" t="s">
        <v>216</v>
      </c>
      <c r="D21" s="69" t="s">
        <v>217</v>
      </c>
      <c r="E21" s="69" t="s">
        <v>218</v>
      </c>
      <c r="F21" s="65">
        <f>(1+$F$10)^(76/365)-1</f>
        <v>9.3480122389315579E-3</v>
      </c>
      <c r="G21" s="162">
        <f>+'12'!E21</f>
        <v>73.278390232934299</v>
      </c>
      <c r="H21" s="162">
        <f>+'12'!F21</f>
        <v>0.48877024289906101</v>
      </c>
      <c r="I21" s="163">
        <f t="shared" si="0"/>
        <v>73.767160475833364</v>
      </c>
      <c r="J21" s="40">
        <f>+G21*$F$21</f>
        <v>0.6850072887466726</v>
      </c>
      <c r="K21" s="38">
        <f>+H21*$F$21</f>
        <v>4.5690302126459728E-3</v>
      </c>
      <c r="L21" s="55">
        <f>+I21*$F$21</f>
        <v>0.68957631895931859</v>
      </c>
      <c r="M21" s="7"/>
    </row>
    <row r="22" spans="2:13">
      <c r="B22" s="6"/>
      <c r="C22" s="6" t="s">
        <v>219</v>
      </c>
      <c r="D22" s="68" t="s">
        <v>220</v>
      </c>
      <c r="E22" s="68" t="s">
        <v>221</v>
      </c>
      <c r="F22" s="66">
        <f>(1+$F$10)^(45.5/365)-1</f>
        <v>5.5860552473812053E-3</v>
      </c>
      <c r="G22" s="165">
        <f>+'12'!E22</f>
        <v>25.331383021566655</v>
      </c>
      <c r="H22" s="165">
        <f>+'12'!F22</f>
        <v>0.96731421416666663</v>
      </c>
      <c r="I22" s="166">
        <f t="shared" si="0"/>
        <v>26.298697235733322</v>
      </c>
      <c r="J22" s="41">
        <f>+G22*$F$22</f>
        <v>0.14150250505104559</v>
      </c>
      <c r="K22" s="37">
        <f>+H22*$F$22</f>
        <v>5.4034706419121351E-3</v>
      </c>
      <c r="L22" s="56">
        <f>+I22*$F$22</f>
        <v>0.14690597569295771</v>
      </c>
      <c r="M22" s="7"/>
    </row>
    <row r="23" spans="2:13">
      <c r="B23" s="6"/>
      <c r="C23" s="12" t="s">
        <v>222</v>
      </c>
      <c r="D23" s="69" t="s">
        <v>223</v>
      </c>
      <c r="E23" s="69" t="s">
        <v>224</v>
      </c>
      <c r="F23" s="65">
        <f>(1+$F$10)^(15/365)-1</f>
        <v>1.8381195054244515E-3</v>
      </c>
      <c r="G23" s="162">
        <f>+'12'!E23</f>
        <v>66.936447186123004</v>
      </c>
      <c r="H23" s="162">
        <f>+'12'!F23</f>
        <v>4.5405963781103287</v>
      </c>
      <c r="I23" s="163">
        <f t="shared" si="0"/>
        <v>71.477043564233327</v>
      </c>
      <c r="J23" s="40">
        <f>+G23*$F$23</f>
        <v>0.12303718919662633</v>
      </c>
      <c r="K23" s="38">
        <f>+H23*$F$23</f>
        <v>8.346158768864213E-3</v>
      </c>
      <c r="L23" s="55">
        <f>+I23*$F$23</f>
        <v>0.13138334796549053</v>
      </c>
      <c r="M23" s="7"/>
    </row>
    <row r="24" spans="2:13">
      <c r="B24" s="6"/>
      <c r="C24" s="6" t="s">
        <v>225</v>
      </c>
      <c r="D24" s="68" t="s">
        <v>226</v>
      </c>
      <c r="E24" s="68" t="s">
        <v>227</v>
      </c>
      <c r="F24" s="66">
        <f>1-(1+$F$10)^(182/365)</f>
        <v>-2.2532143271943417E-2</v>
      </c>
      <c r="G24" s="165">
        <v>0</v>
      </c>
      <c r="H24" s="165">
        <v>0</v>
      </c>
      <c r="I24" s="166">
        <f t="shared" si="0"/>
        <v>0</v>
      </c>
      <c r="J24" s="41">
        <f>+G24*$F$24</f>
        <v>0</v>
      </c>
      <c r="K24" s="37">
        <f>+H24*$F$24</f>
        <v>0</v>
      </c>
      <c r="L24" s="56">
        <f>+I24*$F$24</f>
        <v>0</v>
      </c>
      <c r="M24" s="7"/>
    </row>
    <row r="25" spans="2:13">
      <c r="B25" s="6"/>
      <c r="C25" s="12" t="s">
        <v>228</v>
      </c>
      <c r="D25" s="69" t="s">
        <v>229</v>
      </c>
      <c r="E25" s="69" t="s">
        <v>230</v>
      </c>
      <c r="F25" s="65">
        <f>(1+$F$10)^(182/365)-1</f>
        <v>2.2532143271943417E-2</v>
      </c>
      <c r="G25" s="162">
        <v>0</v>
      </c>
      <c r="H25" s="162">
        <v>0</v>
      </c>
      <c r="I25" s="163">
        <f t="shared" si="0"/>
        <v>0</v>
      </c>
      <c r="J25" s="40">
        <f>+G25*$F$25</f>
        <v>0</v>
      </c>
      <c r="K25" s="38">
        <f>+H25*$F$25</f>
        <v>0</v>
      </c>
      <c r="L25" s="55">
        <f>+I25*$F$25</f>
        <v>0</v>
      </c>
      <c r="M25" s="7"/>
    </row>
    <row r="26" spans="2:13">
      <c r="B26" s="6"/>
      <c r="C26" s="6" t="s">
        <v>231</v>
      </c>
      <c r="D26" s="68" t="s">
        <v>232</v>
      </c>
      <c r="E26" s="68" t="s">
        <v>233</v>
      </c>
      <c r="F26" s="66">
        <f>1-(1+$F$10)^(182/365)</f>
        <v>-2.2532143271943417E-2</v>
      </c>
      <c r="G26" s="198">
        <f>-'12'!E26</f>
        <v>3.4193929299999923</v>
      </c>
      <c r="H26" s="198">
        <f>-'12'!F26</f>
        <v>3.8381550000000014E-2</v>
      </c>
      <c r="I26" s="210">
        <f t="shared" si="0"/>
        <v>3.4577744799999923</v>
      </c>
      <c r="J26" s="41">
        <f>+G26*$F$26</f>
        <v>-7.7046251401830218E-2</v>
      </c>
      <c r="K26" s="37">
        <f>+H26*$F$26</f>
        <v>-8.6481858359926012E-4</v>
      </c>
      <c r="L26" s="56">
        <f>+I26*$F$26</f>
        <v>-7.7911069985429474E-2</v>
      </c>
      <c r="M26" s="7"/>
    </row>
    <row r="27" spans="2:13" ht="23.25" customHeight="1">
      <c r="B27" s="6"/>
      <c r="C27" s="42" t="s">
        <v>234</v>
      </c>
      <c r="D27" s="63" t="s">
        <v>235</v>
      </c>
      <c r="E27" s="63" t="s">
        <v>236</v>
      </c>
      <c r="F27" s="488"/>
      <c r="G27" s="205"/>
      <c r="H27" s="205"/>
      <c r="I27" s="206"/>
      <c r="J27" s="43">
        <f>+SUM(J11:J26)</f>
        <v>215.09872230134113</v>
      </c>
      <c r="K27" s="44">
        <f>+SUM(K11:K26)</f>
        <v>23.878603248038559</v>
      </c>
      <c r="L27" s="57">
        <f>+SUM(L11:L26)</f>
        <v>238.97732554937977</v>
      </c>
      <c r="M27" s="7"/>
    </row>
    <row r="28" spans="2:13">
      <c r="B28" s="6"/>
      <c r="C28" s="6" t="s">
        <v>237</v>
      </c>
      <c r="D28" s="68" t="s">
        <v>238</v>
      </c>
      <c r="E28" s="68" t="s">
        <v>239</v>
      </c>
      <c r="F28" s="66">
        <f>(1+$F$10)^(163/365)</f>
        <v>1.0201563469882564</v>
      </c>
      <c r="G28" s="165">
        <f>+'6'!E19</f>
        <v>759.04718527244495</v>
      </c>
      <c r="H28" s="165">
        <f>+'6'!F19</f>
        <v>95.865462367150641</v>
      </c>
      <c r="I28" s="166">
        <f>+SUM(G28:H28)</f>
        <v>854.91264763959555</v>
      </c>
      <c r="J28" s="41">
        <f>+G28*$F$28</f>
        <v>774.34680371925572</v>
      </c>
      <c r="K28" s="37">
        <f>+H28*$F$28</f>
        <v>97.797759890812571</v>
      </c>
      <c r="L28" s="56">
        <f>+I28*$F$28</f>
        <v>872.14456361006819</v>
      </c>
      <c r="M28" s="7"/>
    </row>
    <row r="29" spans="2:13">
      <c r="B29" s="6"/>
      <c r="C29" s="12" t="s">
        <v>240</v>
      </c>
      <c r="D29" s="69" t="s">
        <v>241</v>
      </c>
      <c r="E29" s="69" t="s">
        <v>242</v>
      </c>
      <c r="F29" s="65">
        <f>(1+$F$10)^(163/365)</f>
        <v>1.0201563469882564</v>
      </c>
      <c r="G29" s="162">
        <f>-'5'!R37</f>
        <v>11.956851178431839</v>
      </c>
      <c r="H29" s="162">
        <f>-'5'!S37</f>
        <v>0</v>
      </c>
      <c r="I29" s="163">
        <f>+SUM(G29:H29)</f>
        <v>11.956851178431839</v>
      </c>
      <c r="J29" s="40">
        <f>+G29*$F$29</f>
        <v>12.197857619671254</v>
      </c>
      <c r="K29" s="38">
        <f>+H29*$F$29</f>
        <v>0</v>
      </c>
      <c r="L29" s="55">
        <f>+I29*$F$29</f>
        <v>12.197857619671254</v>
      </c>
      <c r="M29" s="7"/>
    </row>
    <row r="30" spans="2:13">
      <c r="B30" s="6"/>
      <c r="C30" s="6" t="s">
        <v>243</v>
      </c>
      <c r="D30" s="68" t="s">
        <v>243</v>
      </c>
      <c r="E30" s="68" t="s">
        <v>244</v>
      </c>
      <c r="F30" s="66">
        <f>(1+$F$10)^(182/365)</f>
        <v>1.0225321432719434</v>
      </c>
      <c r="G30" s="165">
        <v>0</v>
      </c>
      <c r="H30" s="165">
        <v>0</v>
      </c>
      <c r="I30" s="166">
        <v>0</v>
      </c>
      <c r="J30" s="41">
        <f>+G30*$F$30</f>
        <v>0</v>
      </c>
      <c r="K30" s="37">
        <f>+H30*$F$30</f>
        <v>0</v>
      </c>
      <c r="L30" s="56">
        <f>+I30*$F$30</f>
        <v>0</v>
      </c>
      <c r="M30" s="7"/>
    </row>
    <row r="31" spans="2:13">
      <c r="B31" s="6"/>
      <c r="C31" s="12" t="s">
        <v>245</v>
      </c>
      <c r="D31" s="69" t="s">
        <v>246</v>
      </c>
      <c r="E31" s="69" t="s">
        <v>247</v>
      </c>
      <c r="F31" s="65">
        <f>(1+$F$10)^(182/365)</f>
        <v>1.0225321432719434</v>
      </c>
      <c r="G31" s="162">
        <f>-'12'!E38</f>
        <v>-2.3811909299999923</v>
      </c>
      <c r="H31" s="162">
        <f>-'12'!F38</f>
        <v>-3.8381550000000014E-2</v>
      </c>
      <c r="I31" s="163">
        <f>+SUM(G31:H31)</f>
        <v>-2.4195724799999923</v>
      </c>
      <c r="J31" s="40">
        <f>+G31*$F$31</f>
        <v>-2.4348442651926043</v>
      </c>
      <c r="K31" s="38">
        <f>+H31*$F$31</f>
        <v>-3.9246368583599277E-2</v>
      </c>
      <c r="L31" s="55">
        <f>+I31*$F$31</f>
        <v>-2.4740906337762034</v>
      </c>
      <c r="M31" s="7"/>
    </row>
    <row r="32" spans="2:13" ht="23.25" customHeight="1">
      <c r="B32" s="6"/>
      <c r="C32" s="42" t="s">
        <v>248</v>
      </c>
      <c r="D32" s="63" t="s">
        <v>249</v>
      </c>
      <c r="E32" s="63" t="s">
        <v>250</v>
      </c>
      <c r="F32" s="488"/>
      <c r="G32" s="205"/>
      <c r="H32" s="205"/>
      <c r="I32" s="206"/>
      <c r="J32" s="43">
        <f>+SUM(J28:J31)</f>
        <v>784.10981707373435</v>
      </c>
      <c r="K32" s="44">
        <f>+SUM(K28:K31)</f>
        <v>97.758513522228967</v>
      </c>
      <c r="L32" s="57">
        <f>+SUM(L28:L31)</f>
        <v>881.86833059596324</v>
      </c>
      <c r="M32" s="7"/>
    </row>
    <row r="33" spans="1:17">
      <c r="B33" s="6"/>
      <c r="C33" s="6" t="s">
        <v>251</v>
      </c>
      <c r="D33" s="68" t="s">
        <v>252</v>
      </c>
      <c r="E33" s="68" t="s">
        <v>253</v>
      </c>
      <c r="F33" s="66">
        <f>(1+$F$10)^(182/365)</f>
        <v>1.0225321432719434</v>
      </c>
      <c r="G33" s="165">
        <f>+'14'!M22</f>
        <v>305.80673041097242</v>
      </c>
      <c r="H33" s="165">
        <f>+'14'!M35</f>
        <v>30.472401516287242</v>
      </c>
      <c r="I33" s="166">
        <f t="shared" ref="I33:I38" si="1">+SUM(G33:H33)</f>
        <v>336.27913192725964</v>
      </c>
      <c r="J33" s="41">
        <f>+G33*$F$33</f>
        <v>312.69721147411701</v>
      </c>
      <c r="K33" s="37">
        <f>+H33*$F$33</f>
        <v>31.159010033092411</v>
      </c>
      <c r="L33" s="56">
        <f>+I33*$F$33</f>
        <v>343.8562215072094</v>
      </c>
      <c r="M33" s="7"/>
    </row>
    <row r="34" spans="1:17">
      <c r="B34" s="6"/>
      <c r="C34" s="12" t="s">
        <v>254</v>
      </c>
      <c r="D34" s="69" t="s">
        <v>255</v>
      </c>
      <c r="E34" s="69" t="s">
        <v>256</v>
      </c>
      <c r="F34" s="65">
        <v>1</v>
      </c>
      <c r="G34" s="162">
        <f>+'13'!E13</f>
        <v>243.11691161720378</v>
      </c>
      <c r="H34" s="162">
        <f>+'13'!F13</f>
        <v>30.213792332787513</v>
      </c>
      <c r="I34" s="163">
        <f t="shared" si="1"/>
        <v>273.33070394999129</v>
      </c>
      <c r="J34" s="40">
        <f>+G34*$F$34</f>
        <v>243.11691161720378</v>
      </c>
      <c r="K34" s="38">
        <f>+H34*$F$34</f>
        <v>30.213792332787513</v>
      </c>
      <c r="L34" s="55">
        <f>+I34*$F$34</f>
        <v>273.33070394999129</v>
      </c>
      <c r="M34" s="7"/>
    </row>
    <row r="35" spans="1:17">
      <c r="B35" s="6"/>
      <c r="C35" s="6" t="s">
        <v>257</v>
      </c>
      <c r="D35" s="68" t="s">
        <v>258</v>
      </c>
      <c r="E35" s="68" t="s">
        <v>259</v>
      </c>
      <c r="F35" s="66">
        <f>(1+$F$10)^(182/365)</f>
        <v>1.0225321432719434</v>
      </c>
      <c r="G35" s="165">
        <f>+'15'!E34</f>
        <v>1.9483321015533339</v>
      </c>
      <c r="H35" s="165">
        <f>+'15'!F34</f>
        <v>0.21767056974886667</v>
      </c>
      <c r="I35" s="166">
        <f t="shared" si="1"/>
        <v>2.1660026713022007</v>
      </c>
      <c r="J35" s="41">
        <f>+G35*$F$35</f>
        <v>1.9922321996068602</v>
      </c>
      <c r="K35" s="37">
        <f>+H35*$F$35</f>
        <v>0.22257515421253368</v>
      </c>
      <c r="L35" s="56">
        <f>+I35*$F$35</f>
        <v>2.2148073538193942</v>
      </c>
      <c r="M35" s="7"/>
    </row>
    <row r="36" spans="1:17">
      <c r="B36" s="6"/>
      <c r="C36" s="12" t="s">
        <v>260</v>
      </c>
      <c r="D36" s="69" t="s">
        <v>261</v>
      </c>
      <c r="E36" s="69" t="s">
        <v>262</v>
      </c>
      <c r="F36" s="65">
        <f>(1+$F$10)^(182/365)</f>
        <v>1.0225321432719434</v>
      </c>
      <c r="G36" s="162">
        <f>+'9'!F15</f>
        <v>22.99194799</v>
      </c>
      <c r="H36" s="162">
        <f>+'9'!G15</f>
        <v>0</v>
      </c>
      <c r="I36" s="163">
        <f t="shared" si="1"/>
        <v>22.99194799</v>
      </c>
      <c r="J36" s="40">
        <f>+G36*$F$36</f>
        <v>23.510005856211752</v>
      </c>
      <c r="K36" s="38">
        <f>+H36*$F$36</f>
        <v>0</v>
      </c>
      <c r="L36" s="55">
        <f>+I36*$F$36</f>
        <v>23.510005856211752</v>
      </c>
      <c r="M36" s="7"/>
    </row>
    <row r="37" spans="1:17">
      <c r="B37" s="6"/>
      <c r="C37" s="6" t="s">
        <v>263</v>
      </c>
      <c r="D37" s="68" t="s">
        <v>264</v>
      </c>
      <c r="E37" s="68" t="s">
        <v>262</v>
      </c>
      <c r="F37" s="66">
        <f t="shared" ref="F37:F38" si="2">(1+$F$10)^(182/365)</f>
        <v>1.0225321432719434</v>
      </c>
      <c r="G37" s="165">
        <f>+'9'!F22-'9'!F16</f>
        <v>0.25221962999999992</v>
      </c>
      <c r="H37" s="165">
        <f>+'9'!G22-'9'!G16</f>
        <v>2.7295775400000002</v>
      </c>
      <c r="I37" s="166">
        <f t="shared" si="1"/>
        <v>2.9817971700000001</v>
      </c>
      <c r="J37" s="41">
        <f>+G37*$F$37</f>
        <v>0.25790267883915646</v>
      </c>
      <c r="K37" s="37">
        <f>+H37*$F$37</f>
        <v>2.7910807722031592</v>
      </c>
      <c r="L37" s="56">
        <f>+I37*$F$37</f>
        <v>3.0489834510423157</v>
      </c>
      <c r="M37" s="7"/>
    </row>
    <row r="38" spans="1:17">
      <c r="A38" s="2" t="s">
        <v>265</v>
      </c>
      <c r="B38" s="6"/>
      <c r="C38" s="12" t="s">
        <v>266</v>
      </c>
      <c r="D38" s="69" t="s">
        <v>267</v>
      </c>
      <c r="E38" s="69" t="s">
        <v>262</v>
      </c>
      <c r="F38" s="65">
        <f t="shared" si="2"/>
        <v>1.0225321432719434</v>
      </c>
      <c r="G38" s="162">
        <f>+'9'!F16</f>
        <v>1.3381442391141145</v>
      </c>
      <c r="H38" s="162">
        <f>+'9'!G16</f>
        <v>0.4842771367593629</v>
      </c>
      <c r="I38" s="163">
        <f t="shared" si="1"/>
        <v>1.8224213758734775</v>
      </c>
      <c r="J38" s="40">
        <f>+G38*$F$38</f>
        <v>1.3682954968283594</v>
      </c>
      <c r="K38" s="38">
        <f>+H38*$F$38</f>
        <v>0.49518893858815138</v>
      </c>
      <c r="L38" s="55">
        <f>+I38*$F$38</f>
        <v>1.863484435416511</v>
      </c>
      <c r="M38" s="7"/>
    </row>
    <row r="39" spans="1:17">
      <c r="B39" s="6"/>
      <c r="C39" s="6" t="s">
        <v>268</v>
      </c>
      <c r="D39" s="68" t="s">
        <v>269</v>
      </c>
      <c r="E39" s="68"/>
      <c r="F39" s="481">
        <f>(1+$F$10)^(163/365)</f>
        <v>1.0201563469882564</v>
      </c>
      <c r="G39" s="165">
        <f>+'5'!R40</f>
        <v>0</v>
      </c>
      <c r="H39" s="165">
        <f>+'5'!S40</f>
        <v>0</v>
      </c>
      <c r="I39" s="166">
        <f>+SUM(G39:H39)</f>
        <v>0</v>
      </c>
      <c r="J39" s="41">
        <f>+G39*$F$39</f>
        <v>0</v>
      </c>
      <c r="K39" s="37">
        <f>+H39*$F$39</f>
        <v>0</v>
      </c>
      <c r="L39" s="56">
        <f>+I39*$F$39</f>
        <v>0</v>
      </c>
      <c r="M39" s="7"/>
    </row>
    <row r="40" spans="1:17" ht="23.25" customHeight="1">
      <c r="B40" s="6"/>
      <c r="C40" s="42" t="s">
        <v>270</v>
      </c>
      <c r="D40" s="63" t="s">
        <v>271</v>
      </c>
      <c r="E40" s="63" t="s">
        <v>272</v>
      </c>
      <c r="F40" s="488"/>
      <c r="G40" s="205"/>
      <c r="H40" s="205"/>
      <c r="I40" s="206"/>
      <c r="J40" s="43">
        <f>+J32-SUM(J33:J39)</f>
        <v>201.16725775092743</v>
      </c>
      <c r="K40" s="44">
        <f>+K32-SUM(K33:K39)</f>
        <v>32.876866291345195</v>
      </c>
      <c r="L40" s="57">
        <f>+L32-SUM(L33:L39)</f>
        <v>234.04412404227264</v>
      </c>
      <c r="M40" s="7"/>
    </row>
    <row r="41" spans="1:17">
      <c r="B41" s="6"/>
      <c r="C41" s="6" t="s">
        <v>273</v>
      </c>
      <c r="D41" s="68" t="s">
        <v>274</v>
      </c>
      <c r="E41" s="68" t="s">
        <v>275</v>
      </c>
      <c r="F41" s="66">
        <f>(1+$F$10)^(182/365)</f>
        <v>1.0225321432719434</v>
      </c>
      <c r="G41" s="165">
        <f>+'15'!E17</f>
        <v>15.808666166323501</v>
      </c>
      <c r="H41" s="165">
        <f>+'15'!F17</f>
        <v>7.2206232163243955</v>
      </c>
      <c r="I41" s="210">
        <f>+SUM(G41:H41)</f>
        <v>23.029289382647896</v>
      </c>
      <c r="J41" s="41">
        <f>+G41*$F$33</f>
        <v>16.164869297321427</v>
      </c>
      <c r="K41" s="37">
        <f>+H41*$F$33</f>
        <v>7.3833193331473375</v>
      </c>
      <c r="L41" s="56">
        <f>+I41*$F$33</f>
        <v>23.548188630468765</v>
      </c>
      <c r="M41" s="7"/>
    </row>
    <row r="42" spans="1:17" ht="23.25" customHeight="1">
      <c r="B42" s="6"/>
      <c r="C42" s="42" t="s">
        <v>276</v>
      </c>
      <c r="D42" s="63" t="s">
        <v>277</v>
      </c>
      <c r="E42" s="63" t="s">
        <v>278</v>
      </c>
      <c r="F42" s="488"/>
      <c r="G42" s="205"/>
      <c r="H42" s="205"/>
      <c r="I42" s="206"/>
      <c r="J42" s="43">
        <f>+J40-J41</f>
        <v>185.00238845360602</v>
      </c>
      <c r="K42" s="44">
        <f>+K40-K41</f>
        <v>25.493546958197857</v>
      </c>
      <c r="L42" s="57">
        <f>+L40-L41</f>
        <v>210.49593541180388</v>
      </c>
      <c r="M42" s="7"/>
    </row>
    <row r="43" spans="1:17" ht="23.25" customHeight="1" thickBot="1">
      <c r="B43" s="6"/>
      <c r="G43" s="211"/>
      <c r="H43" s="211"/>
      <c r="I43" s="211"/>
      <c r="M43" s="7"/>
    </row>
    <row r="44" spans="1:17" ht="23.25" customHeight="1">
      <c r="B44" s="6"/>
      <c r="C44" s="45" t="s">
        <v>279</v>
      </c>
      <c r="D44" s="70" t="s">
        <v>280</v>
      </c>
      <c r="E44" s="70" t="s">
        <v>281</v>
      </c>
      <c r="F44" s="489"/>
      <c r="G44" s="490"/>
      <c r="H44" s="490"/>
      <c r="I44" s="490"/>
      <c r="J44" s="46">
        <f>+J27-J42</f>
        <v>30.09633384773511</v>
      </c>
      <c r="K44" s="47">
        <f>+K27-K42</f>
        <v>-1.6149437101592987</v>
      </c>
      <c r="L44" s="58">
        <f>+L27-L42</f>
        <v>28.481390137575886</v>
      </c>
      <c r="M44" s="7"/>
    </row>
    <row r="45" spans="1:17">
      <c r="B45" s="6"/>
      <c r="C45" s="48" t="s">
        <v>282</v>
      </c>
      <c r="D45" s="68" t="s">
        <v>283</v>
      </c>
      <c r="E45" s="68" t="s">
        <v>275</v>
      </c>
      <c r="F45" s="100"/>
      <c r="G45" s="491"/>
      <c r="H45" s="491"/>
      <c r="I45" s="491"/>
      <c r="J45" s="482">
        <f>+'5'!H32*0.72</f>
        <v>-17.511016735506768</v>
      </c>
      <c r="K45" s="483">
        <f>+'5'!I32*0.72</f>
        <v>-0.45853261934767753</v>
      </c>
      <c r="L45" s="59">
        <f>+SUM(J45:K45)</f>
        <v>-17.969549354854447</v>
      </c>
      <c r="M45" s="7"/>
      <c r="Q45" s="2" t="s">
        <v>896</v>
      </c>
    </row>
    <row r="46" spans="1:17" ht="23.25" customHeight="1" thickBot="1">
      <c r="B46" s="6"/>
      <c r="C46" s="240" t="s">
        <v>284</v>
      </c>
      <c r="D46" s="241" t="s">
        <v>285</v>
      </c>
      <c r="E46" s="241" t="s">
        <v>286</v>
      </c>
      <c r="F46" s="492"/>
      <c r="G46" s="493"/>
      <c r="H46" s="493"/>
      <c r="I46" s="493"/>
      <c r="J46" s="242">
        <f>+J44+J45</f>
        <v>12.585317112228342</v>
      </c>
      <c r="K46" s="243">
        <f>+K44+K45</f>
        <v>-2.0734763295069762</v>
      </c>
      <c r="L46" s="244">
        <f>+L44+L45</f>
        <v>10.511840782721439</v>
      </c>
      <c r="M46" s="7"/>
      <c r="P46" s="547"/>
    </row>
    <row r="47" spans="1:17" ht="23.25" customHeight="1">
      <c r="B47" s="6"/>
      <c r="C47" s="98"/>
      <c r="D47" s="98"/>
      <c r="E47" s="98"/>
      <c r="F47" s="98"/>
      <c r="G47" s="98"/>
      <c r="H47" s="98"/>
      <c r="I47" s="98"/>
      <c r="J47" s="99"/>
      <c r="K47" s="99"/>
      <c r="L47" s="99"/>
      <c r="M47" s="7"/>
    </row>
    <row r="48" spans="1:17">
      <c r="B48" s="6"/>
      <c r="C48" s="136" t="s">
        <v>287</v>
      </c>
      <c r="D48" s="136"/>
      <c r="E48" s="136"/>
      <c r="F48" s="137">
        <f>1/(1+$F$10)^(163/365)</f>
        <v>0.98024190404954814</v>
      </c>
      <c r="G48" s="136"/>
      <c r="H48" s="136"/>
      <c r="I48" s="136"/>
      <c r="J48" s="138">
        <f>+J46*$F$48</f>
        <v>12.336655209158071</v>
      </c>
      <c r="K48" s="138">
        <f>+K46*$F$48</f>
        <v>-2.0325083852375867</v>
      </c>
      <c r="L48" s="138">
        <f>+L46*$F$48</f>
        <v>10.304146823920556</v>
      </c>
      <c r="M48" s="7"/>
    </row>
    <row r="49" spans="2:13">
      <c r="B49" s="6"/>
      <c r="C49" s="139" t="s">
        <v>288</v>
      </c>
      <c r="D49" s="139"/>
      <c r="E49" s="139"/>
      <c r="F49" s="140"/>
      <c r="G49" s="139"/>
      <c r="H49" s="139"/>
      <c r="I49" s="139"/>
      <c r="J49" s="141">
        <f>+'5'!Y49</f>
        <v>12.336655209158121</v>
      </c>
      <c r="K49" s="141">
        <f>+'5'!Z49</f>
        <v>-2.0325083852375787</v>
      </c>
      <c r="L49" s="141">
        <f>+'5'!AA49</f>
        <v>10.304146823920536</v>
      </c>
      <c r="M49" s="7"/>
    </row>
    <row r="50" spans="2:13">
      <c r="B50" s="6"/>
      <c r="C50" s="136" t="s">
        <v>289</v>
      </c>
      <c r="D50" s="136"/>
      <c r="E50" s="136"/>
      <c r="F50" s="137"/>
      <c r="G50" s="136"/>
      <c r="H50" s="136"/>
      <c r="I50" s="136"/>
      <c r="J50" s="138">
        <f>+J48-J49</f>
        <v>-4.9737991503207013E-14</v>
      </c>
      <c r="K50" s="138">
        <f>+K48-K49</f>
        <v>-7.9936057773011271E-15</v>
      </c>
      <c r="L50" s="138">
        <f>+L48-L49</f>
        <v>1.9539925233402755E-14</v>
      </c>
      <c r="M50" s="7"/>
    </row>
    <row r="51" spans="2:13">
      <c r="B51" s="6"/>
      <c r="M51" s="7"/>
    </row>
    <row r="52" spans="2:13" ht="18.75">
      <c r="B52" s="750" t="s">
        <v>290</v>
      </c>
      <c r="C52" s="751"/>
      <c r="D52" s="751"/>
      <c r="E52" s="751"/>
      <c r="F52" s="751"/>
      <c r="G52" s="751"/>
      <c r="H52" s="751"/>
      <c r="I52" s="751"/>
      <c r="J52" s="751"/>
      <c r="K52" s="751"/>
      <c r="L52" s="751"/>
      <c r="M52" s="752"/>
    </row>
    <row r="53" spans="2:13">
      <c r="B53" s="6" t="s">
        <v>26</v>
      </c>
      <c r="M53" s="7"/>
    </row>
    <row r="54" spans="2:13" ht="34.5" customHeight="1">
      <c r="B54" s="6"/>
      <c r="C54" s="746" t="s">
        <v>895</v>
      </c>
      <c r="D54" s="747"/>
      <c r="E54" s="747"/>
      <c r="F54" s="747"/>
      <c r="G54" s="747"/>
      <c r="H54" s="747"/>
      <c r="I54" s="747"/>
      <c r="J54" s="747"/>
      <c r="K54" s="747"/>
      <c r="L54" s="748"/>
      <c r="M54" s="7"/>
    </row>
    <row r="55" spans="2:13" ht="19.5" customHeight="1">
      <c r="B55" s="6"/>
      <c r="C55" s="3"/>
      <c r="D55" s="3"/>
      <c r="E55" s="3"/>
      <c r="F55" s="3"/>
      <c r="G55" s="3"/>
      <c r="H55" s="3"/>
      <c r="I55" s="3"/>
      <c r="J55" s="3"/>
      <c r="K55" s="3"/>
      <c r="L55" s="3"/>
      <c r="M55" s="7"/>
    </row>
    <row r="56" spans="2:13" ht="141" customHeight="1">
      <c r="B56" s="6"/>
      <c r="C56" s="718" t="s">
        <v>291</v>
      </c>
      <c r="D56" s="718"/>
      <c r="E56" s="718"/>
      <c r="F56" s="718"/>
      <c r="G56" s="718"/>
      <c r="H56" s="718"/>
      <c r="I56" s="718"/>
      <c r="J56" s="718"/>
      <c r="K56" s="718"/>
      <c r="L56" s="718"/>
      <c r="M56" s="7"/>
    </row>
    <row r="57" spans="2:13" ht="17.45" customHeight="1">
      <c r="B57" s="6"/>
      <c r="C57" s="2" t="s">
        <v>910</v>
      </c>
      <c r="D57" s="385" t="s">
        <v>909</v>
      </c>
      <c r="E57" s="3"/>
      <c r="F57" s="3"/>
      <c r="G57" s="3"/>
      <c r="H57" s="3"/>
      <c r="I57" s="3"/>
      <c r="J57" s="3"/>
      <c r="K57" s="3"/>
      <c r="L57" s="3"/>
      <c r="M57" s="7"/>
    </row>
    <row r="58" spans="2:13">
      <c r="B58" s="9"/>
      <c r="C58" s="10"/>
      <c r="D58" s="10"/>
      <c r="E58" s="10"/>
      <c r="F58" s="10"/>
      <c r="G58" s="10"/>
      <c r="H58" s="10"/>
      <c r="I58" s="10"/>
      <c r="J58" s="10"/>
      <c r="K58" s="10"/>
      <c r="L58" s="10"/>
      <c r="M58" s="23"/>
    </row>
  </sheetData>
  <mergeCells count="4">
    <mergeCell ref="C54:L54"/>
    <mergeCell ref="B2:M2"/>
    <mergeCell ref="B52:M52"/>
    <mergeCell ref="C56:L56"/>
  </mergeCells>
  <phoneticPr fontId="1" type="noConversion"/>
  <hyperlinks>
    <hyperlink ref="B2" location="Contents!A1" display="The ex-post economic gain or loss for the disclosure year, calculated in accordance with clause 29.1 and Schedule E " xr:uid="{764B9C49-A724-4BCD-A00E-65C011F4C3B9}"/>
    <hyperlink ref="B52" location="Contents!A1" display="A description and explanation of any voluntary revenue reduction Transpower has made in calculating the ex-post economic gain or loss for the disclosure year " xr:uid="{952645A7-4796-487B-BC1F-1BCDE95E4B60}"/>
  </hyperlinks>
  <pageMargins left="0.25" right="0.25" top="0.75" bottom="0.75" header="0.3" footer="0.3"/>
  <pageSetup paperSize="8" scale="67" orientation="landscape" r:id="rId1"/>
  <headerFooter>
    <oddFooter>&amp;L&amp;F&amp;C&amp;D&amp;RSheet: &amp;A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3849F-0713-4F68-8844-3F3452EF8586}">
  <sheetPr codeName="Sheet7">
    <tabColor rgb="FF92D050"/>
    <pageSetUpPr fitToPage="1"/>
  </sheetPr>
  <dimension ref="B2:AK59"/>
  <sheetViews>
    <sheetView view="pageBreakPreview" zoomScale="70" zoomScaleNormal="85" zoomScaleSheetLayoutView="70" workbookViewId="0">
      <selection activeCell="B3" sqref="B3"/>
    </sheetView>
  </sheetViews>
  <sheetFormatPr defaultColWidth="9.140625" defaultRowHeight="15"/>
  <cols>
    <col min="1" max="1" width="9.140625" style="2"/>
    <col min="2" max="2" width="17.5703125" style="2" customWidth="1"/>
    <col min="3" max="3" width="55.28515625" style="2" customWidth="1"/>
    <col min="4" max="4" width="79.5703125" style="2" bestFit="1" customWidth="1"/>
    <col min="5" max="6" width="13" style="2" customWidth="1"/>
    <col min="7" max="7" width="9.140625" style="2" customWidth="1"/>
    <col min="8" max="8" width="11" style="2" bestFit="1" customWidth="1"/>
    <col min="9" max="9" width="9.140625" style="2" customWidth="1"/>
    <col min="10" max="10" width="9.7109375" style="2" customWidth="1"/>
    <col min="11" max="11" width="11" style="2" bestFit="1" customWidth="1"/>
    <col min="12" max="12" width="9.5703125" style="2" customWidth="1"/>
    <col min="13" max="13" width="11" style="2" bestFit="1" customWidth="1"/>
    <col min="14" max="14" width="3.42578125" style="2" customWidth="1"/>
    <col min="15" max="15" width="11" style="2" bestFit="1" customWidth="1"/>
    <col min="16" max="16" width="9.140625" style="2"/>
    <col min="17" max="18" width="10.5703125" style="2" bestFit="1" customWidth="1"/>
    <col min="19" max="19" width="9.140625" style="2"/>
    <col min="20" max="20" width="11" style="2" bestFit="1" customWidth="1"/>
    <col min="21" max="21" width="3.7109375" style="2" customWidth="1"/>
    <col min="22" max="28" width="9.140625" style="2"/>
    <col min="29" max="29" width="8.7109375" style="2" customWidth="1"/>
    <col min="30" max="33" width="9.140625" style="2"/>
    <col min="34" max="34" width="17.85546875" style="2" bestFit="1" customWidth="1"/>
    <col min="35" max="35" width="9.140625" style="2"/>
    <col min="36" max="36" width="13.140625" style="2" customWidth="1"/>
    <col min="37" max="16384" width="9.140625" style="2"/>
  </cols>
  <sheetData>
    <row r="2" spans="2:28" ht="18.75">
      <c r="B2" s="742" t="s">
        <v>292</v>
      </c>
      <c r="C2" s="743"/>
      <c r="D2" s="743"/>
      <c r="E2" s="743"/>
      <c r="F2" s="743"/>
      <c r="G2" s="743"/>
      <c r="H2" s="743"/>
      <c r="I2" s="743"/>
      <c r="J2" s="743"/>
      <c r="K2" s="743"/>
      <c r="L2" s="743"/>
      <c r="M2" s="743"/>
      <c r="N2" s="743"/>
      <c r="O2" s="743"/>
      <c r="P2" s="743"/>
      <c r="Q2" s="743"/>
      <c r="R2" s="743"/>
      <c r="S2" s="743"/>
      <c r="T2" s="743"/>
      <c r="U2" s="743"/>
      <c r="V2" s="743"/>
      <c r="W2" s="743"/>
      <c r="X2" s="743"/>
      <c r="Y2" s="743"/>
      <c r="Z2" s="743"/>
      <c r="AA2" s="743"/>
      <c r="AB2" s="749"/>
    </row>
    <row r="3" spans="2:28">
      <c r="B3" s="6"/>
      <c r="AB3" s="7"/>
    </row>
    <row r="4" spans="2:28">
      <c r="B4" s="6"/>
      <c r="AB4" s="7"/>
    </row>
    <row r="5" spans="2:28">
      <c r="B5" s="24" t="s">
        <v>293</v>
      </c>
      <c r="AB5" s="7"/>
    </row>
    <row r="6" spans="2:28">
      <c r="B6" s="24"/>
      <c r="AB6" s="7"/>
    </row>
    <row r="7" spans="2:28" ht="36" customHeight="1">
      <c r="B7" s="6"/>
      <c r="C7" s="136" t="s">
        <v>167</v>
      </c>
      <c r="H7" s="756" t="s">
        <v>294</v>
      </c>
      <c r="I7" s="757"/>
      <c r="J7" s="757"/>
      <c r="K7" s="757"/>
      <c r="L7" s="757"/>
      <c r="M7" s="758"/>
      <c r="O7" s="756" t="s">
        <v>295</v>
      </c>
      <c r="P7" s="757"/>
      <c r="Q7" s="757"/>
      <c r="R7" s="757"/>
      <c r="S7" s="757"/>
      <c r="T7" s="758"/>
      <c r="V7" s="756" t="s">
        <v>296</v>
      </c>
      <c r="W7" s="757"/>
      <c r="X7" s="757"/>
      <c r="Y7" s="757"/>
      <c r="Z7" s="757"/>
      <c r="AA7" s="758"/>
      <c r="AB7" s="7"/>
    </row>
    <row r="8" spans="2:28" ht="60">
      <c r="B8" s="6"/>
      <c r="C8" s="30" t="s">
        <v>297</v>
      </c>
      <c r="D8" s="61" t="s">
        <v>298</v>
      </c>
      <c r="E8" s="61" t="s">
        <v>299</v>
      </c>
      <c r="F8" s="32" t="s">
        <v>300</v>
      </c>
      <c r="G8" s="32" t="s">
        <v>171</v>
      </c>
      <c r="H8" s="152" t="s">
        <v>172</v>
      </c>
      <c r="I8" s="153" t="s">
        <v>173</v>
      </c>
      <c r="J8" s="154" t="s">
        <v>174</v>
      </c>
      <c r="K8" s="30" t="s">
        <v>301</v>
      </c>
      <c r="L8" s="30" t="s">
        <v>302</v>
      </c>
      <c r="M8" s="86" t="s">
        <v>303</v>
      </c>
      <c r="O8" s="152" t="s">
        <v>172</v>
      </c>
      <c r="P8" s="153" t="s">
        <v>173</v>
      </c>
      <c r="Q8" s="154" t="s">
        <v>174</v>
      </c>
      <c r="R8" s="30" t="s">
        <v>301</v>
      </c>
      <c r="S8" s="30" t="s">
        <v>302</v>
      </c>
      <c r="T8" s="86" t="s">
        <v>303</v>
      </c>
      <c r="V8" s="152" t="s">
        <v>172</v>
      </c>
      <c r="W8" s="153" t="s">
        <v>173</v>
      </c>
      <c r="X8" s="154" t="s">
        <v>174</v>
      </c>
      <c r="Y8" s="30" t="s">
        <v>301</v>
      </c>
      <c r="Z8" s="30" t="s">
        <v>302</v>
      </c>
      <c r="AA8" s="86" t="s">
        <v>303</v>
      </c>
      <c r="AB8" s="7"/>
    </row>
    <row r="9" spans="2:28">
      <c r="B9" s="33" t="s">
        <v>304</v>
      </c>
      <c r="C9" s="34" t="s">
        <v>179</v>
      </c>
      <c r="D9" s="62" t="s">
        <v>180</v>
      </c>
      <c r="E9" s="62"/>
      <c r="F9" s="36"/>
      <c r="G9" s="36" t="s">
        <v>181</v>
      </c>
      <c r="H9" s="155" t="s">
        <v>182</v>
      </c>
      <c r="I9" s="156" t="s">
        <v>182</v>
      </c>
      <c r="J9" s="157" t="s">
        <v>182</v>
      </c>
      <c r="K9" s="34" t="s">
        <v>183</v>
      </c>
      <c r="L9" s="35" t="s">
        <v>183</v>
      </c>
      <c r="M9" s="53" t="s">
        <v>183</v>
      </c>
      <c r="O9" s="155" t="s">
        <v>182</v>
      </c>
      <c r="P9" s="156" t="s">
        <v>182</v>
      </c>
      <c r="Q9" s="157" t="s">
        <v>182</v>
      </c>
      <c r="R9" s="34" t="s">
        <v>183</v>
      </c>
      <c r="S9" s="35" t="s">
        <v>183</v>
      </c>
      <c r="T9" s="53" t="s">
        <v>183</v>
      </c>
      <c r="V9" s="155" t="s">
        <v>182</v>
      </c>
      <c r="W9" s="156" t="s">
        <v>182</v>
      </c>
      <c r="X9" s="157" t="s">
        <v>182</v>
      </c>
      <c r="Y9" s="34" t="s">
        <v>183</v>
      </c>
      <c r="Z9" s="35" t="s">
        <v>183</v>
      </c>
      <c r="AA9" s="53" t="s">
        <v>183</v>
      </c>
      <c r="AB9" s="7"/>
    </row>
    <row r="10" spans="2:28">
      <c r="B10" s="6"/>
      <c r="C10" s="6" t="s">
        <v>184</v>
      </c>
      <c r="D10" s="68" t="s">
        <v>184</v>
      </c>
      <c r="E10" s="68" t="s">
        <v>185</v>
      </c>
      <c r="F10" s="68">
        <v>1</v>
      </c>
      <c r="G10" s="487">
        <v>4.5699999999999998E-2</v>
      </c>
      <c r="H10" s="158"/>
      <c r="I10" s="159"/>
      <c r="J10" s="160"/>
      <c r="K10" s="39"/>
      <c r="L10" s="22"/>
      <c r="M10" s="54"/>
      <c r="O10" s="158"/>
      <c r="P10" s="159"/>
      <c r="Q10" s="160"/>
      <c r="R10" s="39"/>
      <c r="S10" s="22"/>
      <c r="T10" s="54"/>
      <c r="V10" s="158"/>
      <c r="W10" s="159"/>
      <c r="X10" s="160"/>
      <c r="Y10" s="39"/>
      <c r="Z10" s="22"/>
      <c r="AA10" s="54"/>
      <c r="AB10" s="7"/>
    </row>
    <row r="11" spans="2:28">
      <c r="B11" s="6"/>
      <c r="C11" s="69" t="s">
        <v>186</v>
      </c>
      <c r="D11" s="69" t="s">
        <v>187</v>
      </c>
      <c r="E11" s="69" t="s">
        <v>188</v>
      </c>
      <c r="F11" s="14">
        <f>+F10+1</f>
        <v>2</v>
      </c>
      <c r="G11" s="65">
        <f>+$G$10/(1+G10)^(163/365)</f>
        <v>4.4797055015064348E-2</v>
      </c>
      <c r="H11" s="362">
        <v>4398.7772778093895</v>
      </c>
      <c r="I11" s="363">
        <v>515.43005842734692</v>
      </c>
      <c r="J11" s="163">
        <f>+H11+I11</f>
        <v>4914.2073362367364</v>
      </c>
      <c r="K11" s="40">
        <f>+H11*$G$11</f>
        <v>197.0522677130422</v>
      </c>
      <c r="L11" s="38">
        <f>+I11*$G$11</f>
        <v>23.08974868378769</v>
      </c>
      <c r="M11" s="55">
        <f>+J11*$G$11</f>
        <v>220.14201639682992</v>
      </c>
      <c r="N11" s="13"/>
      <c r="O11" s="161">
        <f>+'12'!E9+'12'!E10</f>
        <v>4542.6955517097313</v>
      </c>
      <c r="P11" s="162">
        <f>+'12'!F9+'12'!F10</f>
        <v>507.51672579225914</v>
      </c>
      <c r="Q11" s="163">
        <f t="shared" ref="Q11:Q26" si="0">+O11+P11</f>
        <v>5050.2122775019907</v>
      </c>
      <c r="R11" s="40">
        <f>+O11*$G11</f>
        <v>203.49938254662891</v>
      </c>
      <c r="S11" s="38">
        <f>+P11*$G11</f>
        <v>22.735254686381161</v>
      </c>
      <c r="T11" s="55">
        <f>+Q11*$G11</f>
        <v>226.23463723301009</v>
      </c>
      <c r="U11" s="13"/>
      <c r="V11" s="161">
        <f>+O11-H11</f>
        <v>143.91827390034177</v>
      </c>
      <c r="W11" s="162">
        <f>+P11-I11</f>
        <v>-7.9133326350877837</v>
      </c>
      <c r="X11" s="163">
        <f t="shared" ref="X11:X26" si="1">+V11+W11</f>
        <v>136.00494126525399</v>
      </c>
      <c r="Y11" s="40">
        <f>+R11-K11</f>
        <v>6.4471148335867099</v>
      </c>
      <c r="Z11" s="38">
        <f>+S11-L11</f>
        <v>-0.35449399740652865</v>
      </c>
      <c r="AA11" s="55">
        <f t="shared" ref="AA11:AA26" si="2">+Y11+Z11</f>
        <v>6.0926208361801812</v>
      </c>
      <c r="AB11" s="7"/>
    </row>
    <row r="12" spans="2:28">
      <c r="B12" s="6"/>
      <c r="C12" s="6" t="s">
        <v>189</v>
      </c>
      <c r="D12" s="68" t="s">
        <v>190</v>
      </c>
      <c r="E12" s="68" t="s">
        <v>191</v>
      </c>
      <c r="F12" s="7">
        <f t="shared" ref="F12:F42" si="3">+F11+1</f>
        <v>3</v>
      </c>
      <c r="G12" s="66">
        <f>((1+$G$10)^(349.5/365)-1)/(1+$G$10)^(163/365)</f>
        <v>4.2853737727724175E-2</v>
      </c>
      <c r="H12" s="364">
        <v>0</v>
      </c>
      <c r="I12" s="365">
        <v>0</v>
      </c>
      <c r="J12" s="166">
        <f t="shared" ref="J12:J23" si="4">+H12+I12</f>
        <v>0</v>
      </c>
      <c r="K12" s="41">
        <f>+H12*$G$12</f>
        <v>0</v>
      </c>
      <c r="L12" s="37">
        <f>+I12*$G$12</f>
        <v>0</v>
      </c>
      <c r="M12" s="56">
        <f>+J12*$G$12</f>
        <v>0</v>
      </c>
      <c r="O12" s="164">
        <f>+'12'!E12</f>
        <v>31.32691756286669</v>
      </c>
      <c r="P12" s="165">
        <f>+'12'!F12</f>
        <v>0.90759278416666656</v>
      </c>
      <c r="Q12" s="166">
        <f t="shared" si="0"/>
        <v>32.234510347033357</v>
      </c>
      <c r="R12" s="41">
        <f t="shared" ref="R12:R26" si="5">+O12*$G12</f>
        <v>1.3424755090571254</v>
      </c>
      <c r="S12" s="37">
        <f t="shared" ref="S12:S26" si="6">+P12*$G12</f>
        <v>3.8893743136253302E-2</v>
      </c>
      <c r="T12" s="56">
        <f t="shared" ref="T12:T26" si="7">+Q12*$G12</f>
        <v>1.3813692521933787</v>
      </c>
      <c r="V12" s="164">
        <f t="shared" ref="V12:W40" si="8">+O12-H12</f>
        <v>31.32691756286669</v>
      </c>
      <c r="W12" s="165">
        <f t="shared" si="8"/>
        <v>0.90759278416666656</v>
      </c>
      <c r="X12" s="166">
        <f t="shared" si="1"/>
        <v>32.234510347033357</v>
      </c>
      <c r="Y12" s="41">
        <f t="shared" ref="Y12:Y26" si="9">+R12-K12</f>
        <v>1.3424755090571254</v>
      </c>
      <c r="Z12" s="37">
        <f t="shared" ref="Z12:Z26" si="10">+S12-L12</f>
        <v>3.8893743136253302E-2</v>
      </c>
      <c r="AA12" s="56">
        <f t="shared" si="2"/>
        <v>1.3813692521933787</v>
      </c>
      <c r="AB12" s="7"/>
    </row>
    <row r="13" spans="2:28">
      <c r="B13" s="6"/>
      <c r="C13" s="12" t="s">
        <v>192</v>
      </c>
      <c r="D13" s="69" t="s">
        <v>193</v>
      </c>
      <c r="E13" s="69" t="s">
        <v>194</v>
      </c>
      <c r="F13" s="14">
        <f t="shared" si="3"/>
        <v>4</v>
      </c>
      <c r="G13" s="65">
        <f>((1+$G$10)^(318.5/365)-1)/(1+$G$10)^(163/365)</f>
        <v>3.8978148866481578E-2</v>
      </c>
      <c r="H13" s="362">
        <v>0</v>
      </c>
      <c r="I13" s="363">
        <v>0</v>
      </c>
      <c r="J13" s="163">
        <f t="shared" si="4"/>
        <v>0</v>
      </c>
      <c r="K13" s="40">
        <f>+H13*$G$13</f>
        <v>0</v>
      </c>
      <c r="L13" s="38">
        <f>+I13*$G$13</f>
        <v>0</v>
      </c>
      <c r="M13" s="55">
        <f>+J13*$G$13</f>
        <v>0</v>
      </c>
      <c r="N13" s="13"/>
      <c r="O13" s="161">
        <f>+'12'!E13</f>
        <v>25.572268980394831</v>
      </c>
      <c r="P13" s="162">
        <f>+'12'!F13</f>
        <v>0.84063910613849757</v>
      </c>
      <c r="Q13" s="163">
        <f t="shared" si="0"/>
        <v>26.412908086533328</v>
      </c>
      <c r="R13" s="40">
        <f t="shared" si="5"/>
        <v>0.99675970717153883</v>
      </c>
      <c r="S13" s="38">
        <f t="shared" si="6"/>
        <v>3.2766556222052365E-2</v>
      </c>
      <c r="T13" s="55">
        <f t="shared" si="7"/>
        <v>1.0295262633935911</v>
      </c>
      <c r="U13" s="13"/>
      <c r="V13" s="161">
        <f t="shared" si="8"/>
        <v>25.572268980394831</v>
      </c>
      <c r="W13" s="162">
        <f t="shared" si="8"/>
        <v>0.84063910613849757</v>
      </c>
      <c r="X13" s="163">
        <f t="shared" si="1"/>
        <v>26.412908086533328</v>
      </c>
      <c r="Y13" s="40">
        <f t="shared" si="9"/>
        <v>0.99675970717153883</v>
      </c>
      <c r="Z13" s="38">
        <f t="shared" si="10"/>
        <v>3.2766556222052365E-2</v>
      </c>
      <c r="AA13" s="55">
        <f t="shared" si="2"/>
        <v>1.0295262633935911</v>
      </c>
      <c r="AB13" s="7"/>
    </row>
    <row r="14" spans="2:28">
      <c r="B14" s="6"/>
      <c r="C14" s="6" t="s">
        <v>195</v>
      </c>
      <c r="D14" s="68" t="s">
        <v>196</v>
      </c>
      <c r="E14" s="68" t="s">
        <v>197</v>
      </c>
      <c r="F14" s="7">
        <f t="shared" si="3"/>
        <v>5</v>
      </c>
      <c r="G14" s="66">
        <f>((1+$G$10)^(288/365)-1)/(1+$G$10)^(163/365)</f>
        <v>3.5179397635485929E-2</v>
      </c>
      <c r="H14" s="364">
        <v>0</v>
      </c>
      <c r="I14" s="365">
        <v>0</v>
      </c>
      <c r="J14" s="166">
        <f t="shared" si="4"/>
        <v>0</v>
      </c>
      <c r="K14" s="41">
        <f>+H14*$G$14</f>
        <v>0</v>
      </c>
      <c r="L14" s="37">
        <f>+I14*$G$14</f>
        <v>0</v>
      </c>
      <c r="M14" s="56">
        <f>+J14*$G$14</f>
        <v>0</v>
      </c>
      <c r="O14" s="164">
        <f>+'12'!E14</f>
        <v>15.809712921966662</v>
      </c>
      <c r="P14" s="165">
        <f>+'12'!F14</f>
        <v>1.211744874166667</v>
      </c>
      <c r="Q14" s="166">
        <f t="shared" si="0"/>
        <v>17.02145779613333</v>
      </c>
      <c r="R14" s="41">
        <f t="shared" si="5"/>
        <v>0.55617617738474534</v>
      </c>
      <c r="S14" s="37">
        <f t="shared" si="6"/>
        <v>4.2628454761071036E-2</v>
      </c>
      <c r="T14" s="56">
        <f t="shared" si="7"/>
        <v>0.59880463214581636</v>
      </c>
      <c r="V14" s="164">
        <f t="shared" si="8"/>
        <v>15.809712921966662</v>
      </c>
      <c r="W14" s="165">
        <f t="shared" si="8"/>
        <v>1.211744874166667</v>
      </c>
      <c r="X14" s="166">
        <f t="shared" si="1"/>
        <v>17.02145779613333</v>
      </c>
      <c r="Y14" s="41">
        <f t="shared" si="9"/>
        <v>0.55617617738474534</v>
      </c>
      <c r="Z14" s="37">
        <f t="shared" si="10"/>
        <v>4.2628454761071036E-2</v>
      </c>
      <c r="AA14" s="56">
        <f t="shared" si="2"/>
        <v>0.59880463214581636</v>
      </c>
      <c r="AB14" s="7"/>
    </row>
    <row r="15" spans="2:28">
      <c r="B15" s="6"/>
      <c r="C15" s="12" t="s">
        <v>198</v>
      </c>
      <c r="D15" s="69" t="s">
        <v>199</v>
      </c>
      <c r="E15" s="69" t="s">
        <v>200</v>
      </c>
      <c r="F15" s="14">
        <f t="shared" si="3"/>
        <v>6</v>
      </c>
      <c r="G15" s="65">
        <f>((1+$G$10)^(257.5/365)-1)/(1+$G$10)^(163/365)</f>
        <v>3.1394804790477258E-2</v>
      </c>
      <c r="H15" s="362">
        <v>0</v>
      </c>
      <c r="I15" s="363">
        <v>0</v>
      </c>
      <c r="J15" s="163">
        <f t="shared" si="4"/>
        <v>0</v>
      </c>
      <c r="K15" s="40">
        <f>+H15*$G$15</f>
        <v>0</v>
      </c>
      <c r="L15" s="38">
        <f>+I15*$G$15</f>
        <v>0</v>
      </c>
      <c r="M15" s="55">
        <f>+J15*$G$15</f>
        <v>0</v>
      </c>
      <c r="N15" s="13"/>
      <c r="O15" s="161">
        <f>+'12'!E15</f>
        <v>23.149101430758225</v>
      </c>
      <c r="P15" s="162">
        <f>+'12'!F15</f>
        <v>1.3322894855751175</v>
      </c>
      <c r="Q15" s="163">
        <f t="shared" si="0"/>
        <v>24.481390916333343</v>
      </c>
      <c r="R15" s="40">
        <f t="shared" si="5"/>
        <v>0.72676152049361231</v>
      </c>
      <c r="S15" s="38">
        <f t="shared" si="6"/>
        <v>4.1826968324036179E-2</v>
      </c>
      <c r="T15" s="55">
        <f t="shared" si="7"/>
        <v>0.76858848881764852</v>
      </c>
      <c r="U15" s="13"/>
      <c r="V15" s="161">
        <f t="shared" si="8"/>
        <v>23.149101430758225</v>
      </c>
      <c r="W15" s="162">
        <f t="shared" si="8"/>
        <v>1.3322894855751175</v>
      </c>
      <c r="X15" s="163">
        <f t="shared" si="1"/>
        <v>24.481390916333343</v>
      </c>
      <c r="Y15" s="40">
        <f t="shared" si="9"/>
        <v>0.72676152049361231</v>
      </c>
      <c r="Z15" s="38">
        <f t="shared" si="10"/>
        <v>4.1826968324036179E-2</v>
      </c>
      <c r="AA15" s="55">
        <f t="shared" si="2"/>
        <v>0.76858848881764852</v>
      </c>
      <c r="AB15" s="7"/>
    </row>
    <row r="16" spans="2:28">
      <c r="B16" s="6"/>
      <c r="C16" s="6" t="s">
        <v>201</v>
      </c>
      <c r="D16" s="68" t="s">
        <v>202</v>
      </c>
      <c r="E16" s="68" t="s">
        <v>203</v>
      </c>
      <c r="F16" s="7">
        <f t="shared" si="3"/>
        <v>7</v>
      </c>
      <c r="G16" s="66">
        <f>((1+$G$10)^(227/365)-1)/(1+$G$10)^(163/365)</f>
        <v>2.7624317561510653E-2</v>
      </c>
      <c r="H16" s="364">
        <v>0</v>
      </c>
      <c r="I16" s="365">
        <v>0</v>
      </c>
      <c r="J16" s="166">
        <f t="shared" si="4"/>
        <v>0</v>
      </c>
      <c r="K16" s="41">
        <f>+H16*$G$16</f>
        <v>0</v>
      </c>
      <c r="L16" s="37">
        <f>+I16*$G$16</f>
        <v>0</v>
      </c>
      <c r="M16" s="56">
        <f>+J16*$G$16</f>
        <v>0</v>
      </c>
      <c r="O16" s="164">
        <f>+'12'!E16</f>
        <v>23.460069672766672</v>
      </c>
      <c r="P16" s="165">
        <f>+'12'!F16</f>
        <v>3.6943664941666667</v>
      </c>
      <c r="Q16" s="166">
        <f t="shared" si="0"/>
        <v>27.154436166933337</v>
      </c>
      <c r="R16" s="41">
        <f t="shared" si="5"/>
        <v>0.64806841465567189</v>
      </c>
      <c r="S16" s="37">
        <f t="shared" si="6"/>
        <v>0.10205435322346479</v>
      </c>
      <c r="T16" s="56">
        <f t="shared" si="7"/>
        <v>0.75012276787913656</v>
      </c>
      <c r="V16" s="164">
        <f t="shared" si="8"/>
        <v>23.460069672766672</v>
      </c>
      <c r="W16" s="165">
        <f t="shared" si="8"/>
        <v>3.6943664941666667</v>
      </c>
      <c r="X16" s="166">
        <f t="shared" si="1"/>
        <v>27.154436166933337</v>
      </c>
      <c r="Y16" s="41">
        <f t="shared" si="9"/>
        <v>0.64806841465567189</v>
      </c>
      <c r="Z16" s="37">
        <f t="shared" si="10"/>
        <v>0.10205435322346479</v>
      </c>
      <c r="AA16" s="56">
        <f t="shared" si="2"/>
        <v>0.75012276787913668</v>
      </c>
      <c r="AB16" s="7"/>
    </row>
    <row r="17" spans="2:35">
      <c r="B17" s="6"/>
      <c r="C17" s="12" t="s">
        <v>204</v>
      </c>
      <c r="D17" s="69" t="s">
        <v>205</v>
      </c>
      <c r="E17" s="69" t="s">
        <v>206</v>
      </c>
      <c r="F17" s="14">
        <f t="shared" si="3"/>
        <v>8</v>
      </c>
      <c r="G17" s="65">
        <f>((1+$G$10)^(196.5/365)-1)/(1+$G$10)^(163/365)</f>
        <v>2.3867883375320774E-2</v>
      </c>
      <c r="H17" s="362">
        <v>153.16253836139848</v>
      </c>
      <c r="I17" s="363">
        <v>20.452493</v>
      </c>
      <c r="J17" s="163">
        <f t="shared" si="4"/>
        <v>173.61503136139848</v>
      </c>
      <c r="K17" s="40">
        <f>+H17*$G$17</f>
        <v>3.6556656030779529</v>
      </c>
      <c r="L17" s="38">
        <f>+I17*$G$17</f>
        <v>0.48815771765856453</v>
      </c>
      <c r="M17" s="55">
        <f>+J17*$G$17</f>
        <v>4.1438233207365176</v>
      </c>
      <c r="N17" s="13"/>
      <c r="O17" s="161">
        <f>+'12'!E17</f>
        <v>21.081501419423013</v>
      </c>
      <c r="P17" s="162">
        <f>+'12'!F17</f>
        <v>9.6454232181103308</v>
      </c>
      <c r="Q17" s="163">
        <f t="shared" si="0"/>
        <v>30.726924637533344</v>
      </c>
      <c r="R17" s="40">
        <f t="shared" si="5"/>
        <v>0.50317081725544788</v>
      </c>
      <c r="S17" s="38">
        <f t="shared" si="6"/>
        <v>0.23021583647546856</v>
      </c>
      <c r="T17" s="55">
        <f t="shared" si="7"/>
        <v>0.73338665373091638</v>
      </c>
      <c r="U17" s="13"/>
      <c r="V17" s="161">
        <f t="shared" si="8"/>
        <v>-132.08103694197547</v>
      </c>
      <c r="W17" s="162">
        <f t="shared" si="8"/>
        <v>-10.80706978188967</v>
      </c>
      <c r="X17" s="163">
        <f t="shared" si="1"/>
        <v>-142.88810672386515</v>
      </c>
      <c r="Y17" s="40">
        <f t="shared" si="9"/>
        <v>-3.1524947858225048</v>
      </c>
      <c r="Z17" s="38">
        <f t="shared" si="10"/>
        <v>-0.25794188118309597</v>
      </c>
      <c r="AA17" s="55">
        <f t="shared" si="2"/>
        <v>-3.4104366670056008</v>
      </c>
      <c r="AB17" s="7"/>
    </row>
    <row r="18" spans="2:35">
      <c r="B18" s="6"/>
      <c r="C18" s="6" t="s">
        <v>207</v>
      </c>
      <c r="D18" s="68" t="s">
        <v>208</v>
      </c>
      <c r="E18" s="68" t="s">
        <v>209</v>
      </c>
      <c r="F18" s="7">
        <f t="shared" si="3"/>
        <v>9</v>
      </c>
      <c r="G18" s="66">
        <f>((1+$G$10)^(165.5/365)-1)/(1+$G$10)^(163/365)</f>
        <v>2.0064214833786967E-2</v>
      </c>
      <c r="H18" s="364">
        <v>153.16253836139848</v>
      </c>
      <c r="I18" s="365">
        <v>20.452493</v>
      </c>
      <c r="J18" s="166">
        <f t="shared" si="4"/>
        <v>173.61503136139848</v>
      </c>
      <c r="K18" s="41">
        <f>+H18*$G$18</f>
        <v>3.0730860741712367</v>
      </c>
      <c r="L18" s="37">
        <f>+I18*$G$18</f>
        <v>0.41036321343852411</v>
      </c>
      <c r="M18" s="56">
        <f>+J18*$G$18</f>
        <v>3.4834492876097607</v>
      </c>
      <c r="O18" s="164">
        <f>+'12'!E18</f>
        <v>32.752416199166653</v>
      </c>
      <c r="P18" s="165">
        <f>+'12'!F18</f>
        <v>0.18165567416666667</v>
      </c>
      <c r="Q18" s="166">
        <f t="shared" si="0"/>
        <v>32.934071873333323</v>
      </c>
      <c r="R18" s="41">
        <f t="shared" si="5"/>
        <v>0.65715151494568413</v>
      </c>
      <c r="S18" s="37">
        <f t="shared" si="6"/>
        <v>3.6447784722564054E-3</v>
      </c>
      <c r="T18" s="56">
        <f t="shared" si="7"/>
        <v>0.66079629341794055</v>
      </c>
      <c r="V18" s="164">
        <f t="shared" si="8"/>
        <v>-120.41012216223183</v>
      </c>
      <c r="W18" s="165">
        <f t="shared" si="8"/>
        <v>-20.270837325833334</v>
      </c>
      <c r="X18" s="166">
        <f t="shared" si="1"/>
        <v>-140.68095948806516</v>
      </c>
      <c r="Y18" s="41">
        <f t="shared" si="9"/>
        <v>-2.4159345592255526</v>
      </c>
      <c r="Z18" s="37">
        <f t="shared" si="10"/>
        <v>-0.40671843496626769</v>
      </c>
      <c r="AA18" s="56">
        <f t="shared" si="2"/>
        <v>-2.8226529941918201</v>
      </c>
      <c r="AB18" s="7"/>
    </row>
    <row r="19" spans="2:35">
      <c r="B19" s="6"/>
      <c r="C19" s="12" t="s">
        <v>210</v>
      </c>
      <c r="D19" s="69" t="s">
        <v>211</v>
      </c>
      <c r="E19" s="69" t="s">
        <v>212</v>
      </c>
      <c r="F19" s="14">
        <f t="shared" si="3"/>
        <v>10</v>
      </c>
      <c r="G19" s="65">
        <f>((1+$G$10)^(136/365)-1)/(1+$G$10)^(163/365)</f>
        <v>1.6457975342605381E-2</v>
      </c>
      <c r="H19" s="362">
        <v>0</v>
      </c>
      <c r="I19" s="363">
        <v>0</v>
      </c>
      <c r="J19" s="163">
        <f t="shared" si="4"/>
        <v>0</v>
      </c>
      <c r="K19" s="40">
        <f>+H19*$G$19</f>
        <v>0</v>
      </c>
      <c r="L19" s="38">
        <f>+I19*$G$19</f>
        <v>0</v>
      </c>
      <c r="M19" s="55">
        <f>+J19*$G$19</f>
        <v>0</v>
      </c>
      <c r="N19" s="13"/>
      <c r="O19" s="161">
        <f>+'12'!E19</f>
        <v>41.723179888225914</v>
      </c>
      <c r="P19" s="162">
        <f>+'12'!F19</f>
        <v>2.3020143971074503</v>
      </c>
      <c r="Q19" s="163">
        <f t="shared" si="0"/>
        <v>44.025194285333363</v>
      </c>
      <c r="R19" s="40">
        <f t="shared" si="5"/>
        <v>0.68667906581551086</v>
      </c>
      <c r="S19" s="38">
        <f t="shared" si="6"/>
        <v>3.788649618591701E-2</v>
      </c>
      <c r="T19" s="55">
        <f t="shared" si="7"/>
        <v>0.72456556200142785</v>
      </c>
      <c r="U19" s="13"/>
      <c r="V19" s="161">
        <f t="shared" si="8"/>
        <v>41.723179888225914</v>
      </c>
      <c r="W19" s="162">
        <f t="shared" si="8"/>
        <v>2.3020143971074503</v>
      </c>
      <c r="X19" s="163">
        <f t="shared" si="1"/>
        <v>44.025194285333363</v>
      </c>
      <c r="Y19" s="40">
        <f t="shared" si="9"/>
        <v>0.68667906581551086</v>
      </c>
      <c r="Z19" s="38">
        <f t="shared" si="10"/>
        <v>3.788649618591701E-2</v>
      </c>
      <c r="AA19" s="55">
        <f t="shared" si="2"/>
        <v>0.72456556200142785</v>
      </c>
      <c r="AB19" s="7"/>
    </row>
    <row r="20" spans="2:35">
      <c r="B20" s="6"/>
      <c r="C20" s="6" t="s">
        <v>213</v>
      </c>
      <c r="D20" s="68" t="s">
        <v>214</v>
      </c>
      <c r="E20" s="68" t="s">
        <v>215</v>
      </c>
      <c r="F20" s="7">
        <f t="shared" si="3"/>
        <v>11</v>
      </c>
      <c r="G20" s="66">
        <f>((1+$G$10)^(106.5/365)-1)/(1+$G$10)^(163/365)</f>
        <v>1.2864736834844877E-2</v>
      </c>
      <c r="H20" s="364">
        <v>0</v>
      </c>
      <c r="I20" s="365">
        <v>0</v>
      </c>
      <c r="J20" s="166">
        <f t="shared" si="4"/>
        <v>0</v>
      </c>
      <c r="K20" s="41">
        <f>+H20*$G$20</f>
        <v>0</v>
      </c>
      <c r="L20" s="37">
        <f>+I20*$G$20</f>
        <v>0</v>
      </c>
      <c r="M20" s="56">
        <f>+J20*$G$20</f>
        <v>0</v>
      </c>
      <c r="O20" s="164">
        <f>+'12'!E20</f>
        <v>29.296678222107463</v>
      </c>
      <c r="P20" s="165">
        <f>+'12'!F20</f>
        <v>9.6796892112258828</v>
      </c>
      <c r="Q20" s="166">
        <f t="shared" si="0"/>
        <v>38.976367433333344</v>
      </c>
      <c r="R20" s="41">
        <f t="shared" si="5"/>
        <v>0.37689405546254362</v>
      </c>
      <c r="S20" s="37">
        <f t="shared" si="6"/>
        <v>0.12452665434550816</v>
      </c>
      <c r="T20" s="56">
        <f t="shared" si="7"/>
        <v>0.50142070980805176</v>
      </c>
      <c r="V20" s="164">
        <f t="shared" si="8"/>
        <v>29.296678222107463</v>
      </c>
      <c r="W20" s="165">
        <f t="shared" si="8"/>
        <v>9.6796892112258828</v>
      </c>
      <c r="X20" s="166">
        <f t="shared" si="1"/>
        <v>38.976367433333344</v>
      </c>
      <c r="Y20" s="41">
        <f t="shared" si="9"/>
        <v>0.37689405546254362</v>
      </c>
      <c r="Z20" s="37">
        <f t="shared" si="10"/>
        <v>0.12452665434550816</v>
      </c>
      <c r="AA20" s="56">
        <f t="shared" si="2"/>
        <v>0.50142070980805176</v>
      </c>
      <c r="AB20" s="7"/>
    </row>
    <row r="21" spans="2:35">
      <c r="B21" s="6"/>
      <c r="C21" s="12" t="s">
        <v>216</v>
      </c>
      <c r="D21" s="69" t="s">
        <v>217</v>
      </c>
      <c r="E21" s="69" t="s">
        <v>218</v>
      </c>
      <c r="F21" s="14">
        <f t="shared" si="3"/>
        <v>12</v>
      </c>
      <c r="G21" s="65">
        <f>((1+$G$10)^(76/365)-1)/(1+$G$10)^(163/365)</f>
        <v>9.1633133161687502E-3</v>
      </c>
      <c r="H21" s="362">
        <v>0</v>
      </c>
      <c r="I21" s="363">
        <v>0</v>
      </c>
      <c r="J21" s="163">
        <f t="shared" si="4"/>
        <v>0</v>
      </c>
      <c r="K21" s="40">
        <f>+H21*$G$21</f>
        <v>0</v>
      </c>
      <c r="L21" s="38">
        <f>+I21*$G$21</f>
        <v>0</v>
      </c>
      <c r="M21" s="55">
        <f>+J21*$G$21</f>
        <v>0</v>
      </c>
      <c r="N21" s="13"/>
      <c r="O21" s="161">
        <f>+'12'!E21</f>
        <v>73.278390232934299</v>
      </c>
      <c r="P21" s="162">
        <f>+'12'!F21</f>
        <v>0.48877024289906101</v>
      </c>
      <c r="Q21" s="163">
        <f t="shared" si="0"/>
        <v>73.767160475833364</v>
      </c>
      <c r="R21" s="40">
        <f t="shared" si="5"/>
        <v>0.67147284900885695</v>
      </c>
      <c r="S21" s="38">
        <f t="shared" si="6"/>
        <v>4.478754875304E-3</v>
      </c>
      <c r="T21" s="55">
        <f t="shared" si="7"/>
        <v>0.67595160388416098</v>
      </c>
      <c r="U21" s="13"/>
      <c r="V21" s="161">
        <f t="shared" si="8"/>
        <v>73.278390232934299</v>
      </c>
      <c r="W21" s="162">
        <f t="shared" si="8"/>
        <v>0.48877024289906101</v>
      </c>
      <c r="X21" s="163">
        <f t="shared" si="1"/>
        <v>73.767160475833364</v>
      </c>
      <c r="Y21" s="40">
        <f t="shared" si="9"/>
        <v>0.67147284900885695</v>
      </c>
      <c r="Z21" s="38">
        <f t="shared" si="10"/>
        <v>4.478754875304E-3</v>
      </c>
      <c r="AA21" s="55">
        <f t="shared" si="2"/>
        <v>0.67595160388416098</v>
      </c>
      <c r="AB21" s="7"/>
    </row>
    <row r="22" spans="2:35">
      <c r="B22" s="6"/>
      <c r="C22" s="6" t="s">
        <v>219</v>
      </c>
      <c r="D22" s="68" t="s">
        <v>220</v>
      </c>
      <c r="E22" s="68" t="s">
        <v>221</v>
      </c>
      <c r="F22" s="7">
        <f t="shared" si="3"/>
        <v>13</v>
      </c>
      <c r="G22" s="66">
        <f>((1+$G$10)^(45.5/365)-1)/(1+$G$10)^(163/365)</f>
        <v>5.4756854318189227E-3</v>
      </c>
      <c r="H22" s="364">
        <v>0</v>
      </c>
      <c r="I22" s="365">
        <v>0</v>
      </c>
      <c r="J22" s="166">
        <f t="shared" si="4"/>
        <v>0</v>
      </c>
      <c r="K22" s="41">
        <f>+H22*$G$22</f>
        <v>0</v>
      </c>
      <c r="L22" s="37">
        <f>+I22*$G$22</f>
        <v>0</v>
      </c>
      <c r="M22" s="56">
        <f>+J22*$G$22</f>
        <v>0</v>
      </c>
      <c r="O22" s="164">
        <f>+'12'!E22</f>
        <v>25.331383021566655</v>
      </c>
      <c r="P22" s="165">
        <f>+'12'!F22</f>
        <v>0.96731421416666663</v>
      </c>
      <c r="Q22" s="166">
        <f t="shared" si="0"/>
        <v>26.298697235733322</v>
      </c>
      <c r="R22" s="41">
        <f t="shared" si="5"/>
        <v>0.13870668497901772</v>
      </c>
      <c r="S22" s="37">
        <f t="shared" si="6"/>
        <v>5.2967083505037855E-3</v>
      </c>
      <c r="T22" s="56">
        <f t="shared" si="7"/>
        <v>0.14400339332952153</v>
      </c>
      <c r="V22" s="164">
        <f t="shared" si="8"/>
        <v>25.331383021566655</v>
      </c>
      <c r="W22" s="165">
        <f t="shared" si="8"/>
        <v>0.96731421416666663</v>
      </c>
      <c r="X22" s="166">
        <f t="shared" si="1"/>
        <v>26.298697235733322</v>
      </c>
      <c r="Y22" s="41">
        <f t="shared" si="9"/>
        <v>0.13870668497901772</v>
      </c>
      <c r="Z22" s="37">
        <f t="shared" si="10"/>
        <v>5.2967083505037855E-3</v>
      </c>
      <c r="AA22" s="56">
        <f t="shared" si="2"/>
        <v>0.1440033933295215</v>
      </c>
      <c r="AB22" s="7"/>
    </row>
    <row r="23" spans="2:35">
      <c r="B23" s="6"/>
      <c r="C23" s="12" t="s">
        <v>222</v>
      </c>
      <c r="D23" s="69" t="s">
        <v>223</v>
      </c>
      <c r="E23" s="69" t="s">
        <v>224</v>
      </c>
      <c r="F23" s="14">
        <f t="shared" si="3"/>
        <v>14</v>
      </c>
      <c r="G23" s="65">
        <f>((1+$G$10)^(15/365)-1)/(1+$G$10)^(163/365)</f>
        <v>1.801801763867878E-3</v>
      </c>
      <c r="H23" s="362">
        <v>0</v>
      </c>
      <c r="I23" s="363">
        <v>0</v>
      </c>
      <c r="J23" s="163">
        <f t="shared" si="4"/>
        <v>0</v>
      </c>
      <c r="K23" s="40">
        <f>+H23*$G$23</f>
        <v>0</v>
      </c>
      <c r="L23" s="38">
        <f>+I23*$G$23</f>
        <v>0</v>
      </c>
      <c r="M23" s="55">
        <f>+J23*$G$23</f>
        <v>0</v>
      </c>
      <c r="N23" s="13"/>
      <c r="O23" s="161">
        <f>+'12'!E23</f>
        <v>66.936447186123004</v>
      </c>
      <c r="P23" s="162">
        <f>+'12'!F23</f>
        <v>4.5405963781103287</v>
      </c>
      <c r="Q23" s="163">
        <f t="shared" si="0"/>
        <v>71.477043564233327</v>
      </c>
      <c r="R23" s="40">
        <f t="shared" si="5"/>
        <v>0.12060620860700549</v>
      </c>
      <c r="S23" s="38">
        <f t="shared" si="6"/>
        <v>8.1812545630912895E-3</v>
      </c>
      <c r="T23" s="55">
        <f t="shared" si="7"/>
        <v>0.12878746317009676</v>
      </c>
      <c r="U23" s="13"/>
      <c r="V23" s="161">
        <f t="shared" si="8"/>
        <v>66.936447186123004</v>
      </c>
      <c r="W23" s="162">
        <f t="shared" si="8"/>
        <v>4.5405963781103287</v>
      </c>
      <c r="X23" s="163">
        <f t="shared" si="1"/>
        <v>71.477043564233327</v>
      </c>
      <c r="Y23" s="40">
        <f t="shared" si="9"/>
        <v>0.12060620860700549</v>
      </c>
      <c r="Z23" s="38">
        <f t="shared" si="10"/>
        <v>8.1812545630912895E-3</v>
      </c>
      <c r="AA23" s="55">
        <f t="shared" si="2"/>
        <v>0.12878746317009679</v>
      </c>
      <c r="AB23" s="7"/>
    </row>
    <row r="24" spans="2:35">
      <c r="B24" s="753" t="s">
        <v>305</v>
      </c>
      <c r="C24" s="75" t="s">
        <v>225</v>
      </c>
      <c r="D24" s="76" t="s">
        <v>226</v>
      </c>
      <c r="E24" s="125"/>
      <c r="F24" s="5">
        <f t="shared" si="3"/>
        <v>15</v>
      </c>
      <c r="G24" s="77">
        <f>(1-(1+$G$10)^(182/365))/(1+$G$10)^(163/365)</f>
        <v>-2.2086951023207031E-2</v>
      </c>
      <c r="H24" s="167"/>
      <c r="I24" s="168"/>
      <c r="J24" s="169"/>
      <c r="K24" s="80"/>
      <c r="L24" s="78"/>
      <c r="M24" s="79"/>
      <c r="O24" s="180">
        <f>-'12'!E27</f>
        <v>0</v>
      </c>
      <c r="P24" s="181">
        <f>-'12'!F27</f>
        <v>0</v>
      </c>
      <c r="Q24" s="182">
        <f t="shared" si="0"/>
        <v>0</v>
      </c>
      <c r="R24" s="87">
        <f t="shared" si="5"/>
        <v>0</v>
      </c>
      <c r="S24" s="88">
        <f t="shared" si="6"/>
        <v>0</v>
      </c>
      <c r="T24" s="89">
        <f t="shared" si="7"/>
        <v>0</v>
      </c>
      <c r="V24" s="180">
        <f t="shared" si="8"/>
        <v>0</v>
      </c>
      <c r="W24" s="181">
        <f t="shared" si="8"/>
        <v>0</v>
      </c>
      <c r="X24" s="182">
        <f t="shared" si="1"/>
        <v>0</v>
      </c>
      <c r="Y24" s="87">
        <f t="shared" si="9"/>
        <v>0</v>
      </c>
      <c r="Z24" s="88">
        <f t="shared" si="10"/>
        <v>0</v>
      </c>
      <c r="AA24" s="89">
        <f t="shared" si="2"/>
        <v>0</v>
      </c>
      <c r="AB24" s="7"/>
    </row>
    <row r="25" spans="2:35">
      <c r="B25" s="754"/>
      <c r="C25" s="12" t="s">
        <v>228</v>
      </c>
      <c r="D25" s="69" t="s">
        <v>229</v>
      </c>
      <c r="E25" s="119"/>
      <c r="F25" s="14">
        <f t="shared" si="3"/>
        <v>16</v>
      </c>
      <c r="G25" s="65">
        <f>((1+$G$10)^(182/365)-1)/(1+$G$10)^(163/365)</f>
        <v>2.2086951023207031E-2</v>
      </c>
      <c r="H25" s="170"/>
      <c r="I25" s="171"/>
      <c r="J25" s="172"/>
      <c r="K25" s="74"/>
      <c r="L25" s="72"/>
      <c r="M25" s="73"/>
      <c r="N25" s="13"/>
      <c r="O25" s="161">
        <f>+'12'!E28</f>
        <v>0</v>
      </c>
      <c r="P25" s="162">
        <f>+'12'!F28</f>
        <v>0</v>
      </c>
      <c r="Q25" s="163">
        <f t="shared" si="0"/>
        <v>0</v>
      </c>
      <c r="R25" s="40">
        <f t="shared" si="5"/>
        <v>0</v>
      </c>
      <c r="S25" s="38">
        <f t="shared" si="6"/>
        <v>0</v>
      </c>
      <c r="T25" s="55">
        <f t="shared" si="7"/>
        <v>0</v>
      </c>
      <c r="U25" s="13"/>
      <c r="V25" s="161">
        <f t="shared" si="8"/>
        <v>0</v>
      </c>
      <c r="W25" s="162">
        <f t="shared" si="8"/>
        <v>0</v>
      </c>
      <c r="X25" s="163">
        <f t="shared" si="1"/>
        <v>0</v>
      </c>
      <c r="Y25" s="40">
        <f t="shared" si="9"/>
        <v>0</v>
      </c>
      <c r="Z25" s="38">
        <f t="shared" si="10"/>
        <v>0</v>
      </c>
      <c r="AA25" s="55">
        <f t="shared" si="2"/>
        <v>0</v>
      </c>
      <c r="AB25" s="7"/>
    </row>
    <row r="26" spans="2:35">
      <c r="B26" s="759"/>
      <c r="C26" s="9" t="s">
        <v>231</v>
      </c>
      <c r="D26" s="81" t="s">
        <v>232</v>
      </c>
      <c r="E26" s="126"/>
      <c r="F26" s="23">
        <f t="shared" si="3"/>
        <v>17</v>
      </c>
      <c r="G26" s="82">
        <f>(1-(1+$G$10)^(182/365))/(1+$G$10)^(163/365)</f>
        <v>-2.2086951023207031E-2</v>
      </c>
      <c r="H26" s="173"/>
      <c r="I26" s="174"/>
      <c r="J26" s="175"/>
      <c r="K26" s="85"/>
      <c r="L26" s="83"/>
      <c r="M26" s="84"/>
      <c r="O26" s="197">
        <f>-'12'!E26</f>
        <v>3.4193929299999923</v>
      </c>
      <c r="P26" s="198">
        <f>-'12'!F26</f>
        <v>3.8381550000000014E-2</v>
      </c>
      <c r="Q26" s="166">
        <f t="shared" si="0"/>
        <v>3.4577744799999923</v>
      </c>
      <c r="R26" s="41">
        <f t="shared" si="5"/>
        <v>-7.5523964174010222E-2</v>
      </c>
      <c r="S26" s="37">
        <f t="shared" si="6"/>
        <v>-8.477314150447721E-4</v>
      </c>
      <c r="T26" s="56">
        <f t="shared" si="7"/>
        <v>-7.6371695589054989E-2</v>
      </c>
      <c r="V26" s="197">
        <f t="shared" si="8"/>
        <v>3.4193929299999923</v>
      </c>
      <c r="W26" s="198">
        <f t="shared" si="8"/>
        <v>3.8381550000000014E-2</v>
      </c>
      <c r="X26" s="166">
        <f t="shared" si="1"/>
        <v>3.4577744799999923</v>
      </c>
      <c r="Y26" s="41">
        <f t="shared" si="9"/>
        <v>-7.5523964174010222E-2</v>
      </c>
      <c r="Z26" s="37">
        <f t="shared" si="10"/>
        <v>-8.477314150447721E-4</v>
      </c>
      <c r="AA26" s="56">
        <f t="shared" si="2"/>
        <v>-7.6371695589054989E-2</v>
      </c>
      <c r="AB26" s="7"/>
    </row>
    <row r="27" spans="2:35" ht="23.25" customHeight="1">
      <c r="B27" s="6"/>
      <c r="C27" s="42" t="s">
        <v>234</v>
      </c>
      <c r="D27" s="63" t="s">
        <v>306</v>
      </c>
      <c r="E27" s="63" t="s">
        <v>227</v>
      </c>
      <c r="F27" s="67">
        <f t="shared" si="3"/>
        <v>18</v>
      </c>
      <c r="G27" s="67"/>
      <c r="H27" s="176"/>
      <c r="I27" s="177"/>
      <c r="J27" s="178"/>
      <c r="K27" s="43">
        <f>+SUM(K11:K26)</f>
        <v>203.78101939029139</v>
      </c>
      <c r="L27" s="44">
        <f>+SUM(L11:L26)</f>
        <v>23.988269614884778</v>
      </c>
      <c r="M27" s="57">
        <f>+SUM(M11:M26)</f>
        <v>227.7692890051762</v>
      </c>
      <c r="O27" s="176"/>
      <c r="P27" s="177"/>
      <c r="Q27" s="178"/>
      <c r="R27" s="43">
        <f>+SUM(R11:R26)</f>
        <v>210.84878110729167</v>
      </c>
      <c r="S27" s="44">
        <f>+SUM(S11:S26)</f>
        <v>23.406807513901043</v>
      </c>
      <c r="T27" s="57">
        <f>+SUM(T11:T26)</f>
        <v>234.25558862119271</v>
      </c>
      <c r="V27" s="176"/>
      <c r="W27" s="177"/>
      <c r="X27" s="178"/>
      <c r="Y27" s="43">
        <f>+SUM(Y11:Y26)</f>
        <v>7.0677617170002707</v>
      </c>
      <c r="Z27" s="44">
        <f>+SUM(Z11:Z26)</f>
        <v>-0.58146210098373519</v>
      </c>
      <c r="AA27" s="57">
        <f>+SUM(AA11:AA26)</f>
        <v>6.4862996160165354</v>
      </c>
      <c r="AB27" s="7"/>
      <c r="AD27" s="546"/>
      <c r="AE27" s="546"/>
      <c r="AF27" s="546"/>
      <c r="AG27" s="546"/>
    </row>
    <row r="28" spans="2:35" ht="16.5">
      <c r="B28" s="6"/>
      <c r="C28" s="6" t="s">
        <v>254</v>
      </c>
      <c r="D28" s="68" t="s">
        <v>254</v>
      </c>
      <c r="E28" s="68" t="s">
        <v>230</v>
      </c>
      <c r="F28" s="7">
        <f t="shared" si="3"/>
        <v>19</v>
      </c>
      <c r="G28" s="66">
        <f>1/(1+$G$10)^(163/365)</f>
        <v>0.98024190404954814</v>
      </c>
      <c r="H28" s="364">
        <v>232.68637939887032</v>
      </c>
      <c r="I28" s="365">
        <v>29.136519559500002</v>
      </c>
      <c r="J28" s="166">
        <f>+H28+I28</f>
        <v>261.82289895837033</v>
      </c>
      <c r="K28" s="41">
        <f>+H28*$G$28</f>
        <v>228.0889395883442</v>
      </c>
      <c r="L28" s="37">
        <f>+I28*$G$28</f>
        <v>28.560837410381183</v>
      </c>
      <c r="M28" s="89">
        <f>+J28*$G$28</f>
        <v>256.64977699872537</v>
      </c>
      <c r="O28" s="164">
        <f>+'13'!E13</f>
        <v>243.11691161720378</v>
      </c>
      <c r="P28" s="165">
        <f>+'13'!F13</f>
        <v>30.213792332787513</v>
      </c>
      <c r="Q28" s="166">
        <f t="shared" ref="Q28:Q34" si="11">+O28+P28</f>
        <v>273.33070394999129</v>
      </c>
      <c r="R28" s="41">
        <f>+O28*$G28</f>
        <v>238.31338435029355</v>
      </c>
      <c r="S28" s="37">
        <f t="shared" ref="S28:S37" si="12">+P28*$G28</f>
        <v>29.61682532484927</v>
      </c>
      <c r="T28" s="56">
        <f t="shared" ref="T28:T37" si="13">+Q28*$G28</f>
        <v>267.93020967514281</v>
      </c>
      <c r="V28" s="164">
        <f t="shared" si="8"/>
        <v>10.430532218333468</v>
      </c>
      <c r="W28" s="165">
        <f t="shared" si="8"/>
        <v>1.0772727732875111</v>
      </c>
      <c r="X28" s="166">
        <f t="shared" ref="X28:X39" si="14">+V28+W28</f>
        <v>11.507804991620979</v>
      </c>
      <c r="Y28" s="41">
        <f t="shared" ref="Y28:Y38" si="15">+R28-K28</f>
        <v>10.224444761949343</v>
      </c>
      <c r="Z28" s="37">
        <f t="shared" ref="Z28:Z38" si="16">+S28-L28</f>
        <v>1.055987914468087</v>
      </c>
      <c r="AA28" s="56">
        <f t="shared" ref="AA28:AA39" si="17">+Y28+Z28</f>
        <v>11.28043267641743</v>
      </c>
      <c r="AB28" s="7"/>
      <c r="AF28" s="546"/>
      <c r="AI28" s="675"/>
    </row>
    <row r="29" spans="2:35" ht="16.5">
      <c r="B29" s="6"/>
      <c r="C29" s="12" t="s">
        <v>251</v>
      </c>
      <c r="D29" s="69" t="s">
        <v>307</v>
      </c>
      <c r="E29" s="69" t="s">
        <v>233</v>
      </c>
      <c r="F29" s="14">
        <f t="shared" si="3"/>
        <v>20</v>
      </c>
      <c r="G29" s="65">
        <f>(1+$G$10)^(19/365)</f>
        <v>1.0023288550727552</v>
      </c>
      <c r="H29" s="362">
        <v>268.75259078350894</v>
      </c>
      <c r="I29" s="363">
        <v>27.127809041956208</v>
      </c>
      <c r="J29" s="163">
        <f>+H29+I29</f>
        <v>295.88039982546513</v>
      </c>
      <c r="K29" s="40">
        <f>+H29*$G$29</f>
        <v>269.37847661787117</v>
      </c>
      <c r="L29" s="38">
        <f>+I29*$G$29</f>
        <v>27.190985777656302</v>
      </c>
      <c r="M29" s="55">
        <f>+J29*$G$29</f>
        <v>296.56946239552747</v>
      </c>
      <c r="N29" s="13"/>
      <c r="O29" s="161">
        <f>+'14'!M22</f>
        <v>305.80673041097242</v>
      </c>
      <c r="P29" s="162">
        <f>+'14'!M35</f>
        <v>30.472401516287242</v>
      </c>
      <c r="Q29" s="163">
        <f t="shared" si="11"/>
        <v>336.27913192725964</v>
      </c>
      <c r="R29" s="40">
        <f t="shared" ref="R29:R31" si="18">+O29*$G29</f>
        <v>306.51890996637269</v>
      </c>
      <c r="S29" s="38">
        <f t="shared" si="12"/>
        <v>30.543367323137478</v>
      </c>
      <c r="T29" s="55">
        <f t="shared" si="13"/>
        <v>337.06227728951012</v>
      </c>
      <c r="U29" s="13"/>
      <c r="V29" s="161">
        <f t="shared" si="8"/>
        <v>37.054139627463485</v>
      </c>
      <c r="W29" s="162">
        <f t="shared" si="8"/>
        <v>3.3445924743310336</v>
      </c>
      <c r="X29" s="163">
        <f t="shared" si="14"/>
        <v>40.398732101794522</v>
      </c>
      <c r="Y29" s="40">
        <f>+R29-K29</f>
        <v>37.140433348501517</v>
      </c>
      <c r="Z29" s="38">
        <f t="shared" si="16"/>
        <v>3.3523815454811761</v>
      </c>
      <c r="AA29" s="55">
        <f t="shared" si="17"/>
        <v>40.492814893982697</v>
      </c>
      <c r="AB29" s="7"/>
      <c r="AF29" s="546"/>
      <c r="AI29" s="675"/>
    </row>
    <row r="30" spans="2:35" ht="16.5">
      <c r="B30" s="6"/>
      <c r="C30" s="6" t="s">
        <v>273</v>
      </c>
      <c r="D30" s="68" t="s">
        <v>274</v>
      </c>
      <c r="E30" s="68" t="s">
        <v>236</v>
      </c>
      <c r="F30" s="7">
        <f t="shared" si="3"/>
        <v>21</v>
      </c>
      <c r="G30" s="66">
        <f>(1+$G$10)^(19/365)</f>
        <v>1.0023288550727552</v>
      </c>
      <c r="H30" s="364">
        <v>34.094758272128225</v>
      </c>
      <c r="I30" s="365">
        <v>7.7040373731635992</v>
      </c>
      <c r="J30" s="166">
        <f>+H30+I30</f>
        <v>41.798795645291825</v>
      </c>
      <c r="K30" s="41">
        <f>+H30*$G$30</f>
        <v>34.174160022884628</v>
      </c>
      <c r="L30" s="37">
        <f>+I30*$G$30</f>
        <v>7.7219789596807864</v>
      </c>
      <c r="M30" s="56">
        <f>+J30*$G$30</f>
        <v>41.896138982565418</v>
      </c>
      <c r="O30" s="164">
        <f>+'15'!E17</f>
        <v>15.808666166323501</v>
      </c>
      <c r="P30" s="165">
        <f>+'15'!F17</f>
        <v>7.2206232163243955</v>
      </c>
      <c r="Q30" s="166">
        <f t="shared" si="11"/>
        <v>23.029289382647896</v>
      </c>
      <c r="R30" s="41">
        <f>+O30*$G30</f>
        <v>15.845482258718437</v>
      </c>
      <c r="S30" s="37">
        <f t="shared" si="12"/>
        <v>7.2374390013301859</v>
      </c>
      <c r="T30" s="56">
        <f t="shared" si="13"/>
        <v>23.082921260048622</v>
      </c>
      <c r="V30" s="164">
        <f t="shared" si="8"/>
        <v>-18.286092105804723</v>
      </c>
      <c r="W30" s="165">
        <f t="shared" si="8"/>
        <v>-0.48341415683920363</v>
      </c>
      <c r="X30" s="166">
        <f t="shared" si="14"/>
        <v>-18.769506262643926</v>
      </c>
      <c r="Y30" s="41">
        <f t="shared" si="15"/>
        <v>-18.328677764166191</v>
      </c>
      <c r="Z30" s="37">
        <f t="shared" si="16"/>
        <v>-0.48453995835060049</v>
      </c>
      <c r="AA30" s="56">
        <f t="shared" si="17"/>
        <v>-18.813217722516789</v>
      </c>
      <c r="AB30" s="7"/>
      <c r="AF30" s="546"/>
      <c r="AI30" s="675"/>
    </row>
    <row r="31" spans="2:35" ht="16.5">
      <c r="B31" s="6"/>
      <c r="C31" s="12" t="s">
        <v>308</v>
      </c>
      <c r="D31" s="69" t="s">
        <v>309</v>
      </c>
      <c r="E31" s="69" t="s">
        <v>239</v>
      </c>
      <c r="F31" s="14">
        <f t="shared" si="3"/>
        <v>22</v>
      </c>
      <c r="G31" s="65">
        <f>(1+$G$10)^(19/365)</f>
        <v>1.0023288550727552</v>
      </c>
      <c r="H31" s="362">
        <v>3.037368092506405</v>
      </c>
      <c r="I31" s="363">
        <v>0.35657897548695633</v>
      </c>
      <c r="J31" s="163">
        <f>+H31+I31</f>
        <v>3.3939470679933614</v>
      </c>
      <c r="K31" s="40">
        <f>+H31*$G$31</f>
        <v>3.0444416825964633</v>
      </c>
      <c r="L31" s="38">
        <f>+I31*$G$31</f>
        <v>0.35740939624285695</v>
      </c>
      <c r="M31" s="55">
        <f>+J31*$G$31</f>
        <v>3.4018510788393201</v>
      </c>
      <c r="N31" s="13"/>
      <c r="O31" s="161">
        <f>+'15'!E34</f>
        <v>1.9483321015533339</v>
      </c>
      <c r="P31" s="162">
        <f>+'15'!F34</f>
        <v>0.21767056974886667</v>
      </c>
      <c r="Q31" s="163">
        <f t="shared" si="11"/>
        <v>2.1660026713022007</v>
      </c>
      <c r="R31" s="40">
        <f t="shared" si="18"/>
        <v>1.9528694846514481</v>
      </c>
      <c r="S31" s="38">
        <f t="shared" si="12"/>
        <v>0.21817749295941583</v>
      </c>
      <c r="T31" s="55">
        <f t="shared" si="13"/>
        <v>2.1710469776108638</v>
      </c>
      <c r="U31" s="13"/>
      <c r="V31" s="161">
        <f t="shared" si="8"/>
        <v>-1.0890359909530711</v>
      </c>
      <c r="W31" s="162">
        <f t="shared" si="8"/>
        <v>-0.13890840573808966</v>
      </c>
      <c r="X31" s="163">
        <f t="shared" si="14"/>
        <v>-1.2279443966911607</v>
      </c>
      <c r="Y31" s="40">
        <f t="shared" si="15"/>
        <v>-1.0915721979450153</v>
      </c>
      <c r="Z31" s="38">
        <f t="shared" si="16"/>
        <v>-0.13923190328344112</v>
      </c>
      <c r="AA31" s="55">
        <f t="shared" si="17"/>
        <v>-1.2308041012284563</v>
      </c>
      <c r="AB31" s="7"/>
      <c r="AF31" s="546"/>
      <c r="AI31" s="675"/>
    </row>
    <row r="32" spans="2:35" ht="16.5">
      <c r="B32" s="6"/>
      <c r="C32" s="6" t="s">
        <v>310</v>
      </c>
      <c r="D32" s="68" t="s">
        <v>311</v>
      </c>
      <c r="E32" s="68" t="s">
        <v>312</v>
      </c>
      <c r="F32" s="7">
        <f t="shared" si="3"/>
        <v>23</v>
      </c>
      <c r="G32" s="66">
        <f>1/(1+$G$10)^(163/365)</f>
        <v>0.98024190404954814</v>
      </c>
      <c r="H32" s="364">
        <v>-24.320856577092734</v>
      </c>
      <c r="I32" s="365">
        <v>-0.63685086020510773</v>
      </c>
      <c r="J32" s="166">
        <f t="shared" ref="J32:J35" si="19">+H32+I32</f>
        <v>-24.957707437297842</v>
      </c>
      <c r="K32" s="41">
        <f>+H32*$G$32</f>
        <v>-23.840322759245357</v>
      </c>
      <c r="L32" s="37">
        <f>+I32*$G$32</f>
        <v>-0.62426789980304742</v>
      </c>
      <c r="M32" s="56">
        <f>+J32*$G$32</f>
        <v>-24.464590659048405</v>
      </c>
      <c r="O32" s="164">
        <f>+H32</f>
        <v>-24.320856577092734</v>
      </c>
      <c r="P32" s="165">
        <f>+I32</f>
        <v>-0.63685086020510773</v>
      </c>
      <c r="Q32" s="166">
        <f t="shared" si="11"/>
        <v>-24.957707437297842</v>
      </c>
      <c r="R32" s="41">
        <f t="shared" ref="R32:R37" si="20">+O32*$G32</f>
        <v>-23.840322759245357</v>
      </c>
      <c r="S32" s="37">
        <f t="shared" si="12"/>
        <v>-0.62426789980304742</v>
      </c>
      <c r="T32" s="56">
        <f>+Q32*$G32</f>
        <v>-24.464590659048405</v>
      </c>
      <c r="V32" s="164">
        <f>+O32-H32</f>
        <v>0</v>
      </c>
      <c r="W32" s="165">
        <f>+P32-I32</f>
        <v>0</v>
      </c>
      <c r="X32" s="166">
        <f t="shared" si="14"/>
        <v>0</v>
      </c>
      <c r="Y32" s="41">
        <f t="shared" si="15"/>
        <v>0</v>
      </c>
      <c r="Z32" s="37">
        <f t="shared" si="16"/>
        <v>0</v>
      </c>
      <c r="AA32" s="56">
        <f t="shared" si="17"/>
        <v>0</v>
      </c>
      <c r="AB32" s="7"/>
      <c r="AF32" s="546"/>
      <c r="AI32" s="675"/>
    </row>
    <row r="33" spans="2:37" ht="16.5">
      <c r="B33" s="6"/>
      <c r="C33" s="12" t="s">
        <v>260</v>
      </c>
      <c r="D33" s="12" t="s">
        <v>260</v>
      </c>
      <c r="E33" s="69" t="s">
        <v>242</v>
      </c>
      <c r="F33" s="14">
        <f t="shared" si="3"/>
        <v>24</v>
      </c>
      <c r="G33" s="65">
        <f>(1+$G$10)^(19/365)</f>
        <v>1.0023288550727552</v>
      </c>
      <c r="H33" s="364">
        <v>19.776553204913846</v>
      </c>
      <c r="I33" s="365">
        <v>0</v>
      </c>
      <c r="J33" s="163">
        <f t="shared" si="19"/>
        <v>19.776553204913846</v>
      </c>
      <c r="K33" s="40">
        <f>+H33*$G$33</f>
        <v>19.822609931166721</v>
      </c>
      <c r="L33" s="38">
        <f>+I33*$G$33</f>
        <v>0</v>
      </c>
      <c r="M33" s="55">
        <f>+J33*$G$33</f>
        <v>19.822609931166721</v>
      </c>
      <c r="N33" s="13"/>
      <c r="O33" s="161">
        <f>+'9'!F15</f>
        <v>22.99194799</v>
      </c>
      <c r="P33" s="162">
        <f>+'9'!G15</f>
        <v>0</v>
      </c>
      <c r="Q33" s="163">
        <f t="shared" si="11"/>
        <v>22.99194799</v>
      </c>
      <c r="R33" s="40">
        <f t="shared" si="20"/>
        <v>23.045492904709032</v>
      </c>
      <c r="S33" s="38">
        <f t="shared" si="12"/>
        <v>0</v>
      </c>
      <c r="T33" s="55">
        <f t="shared" si="13"/>
        <v>23.045492904709032</v>
      </c>
      <c r="U33" s="13"/>
      <c r="V33" s="161">
        <f t="shared" si="8"/>
        <v>3.2153947850861542</v>
      </c>
      <c r="W33" s="162">
        <f t="shared" si="8"/>
        <v>0</v>
      </c>
      <c r="X33" s="163">
        <f t="shared" si="14"/>
        <v>3.2153947850861542</v>
      </c>
      <c r="Y33" s="40">
        <f t="shared" si="15"/>
        <v>3.2228829735423119</v>
      </c>
      <c r="Z33" s="38">
        <f t="shared" si="16"/>
        <v>0</v>
      </c>
      <c r="AA33" s="55">
        <f t="shared" si="17"/>
        <v>3.2228829735423119</v>
      </c>
      <c r="AB33" s="7"/>
      <c r="AF33" s="546"/>
      <c r="AI33" s="675"/>
    </row>
    <row r="34" spans="2:37">
      <c r="B34" s="6"/>
      <c r="C34" s="6" t="s">
        <v>263</v>
      </c>
      <c r="D34" s="6" t="s">
        <v>263</v>
      </c>
      <c r="E34" s="68" t="s">
        <v>244</v>
      </c>
      <c r="F34" s="7">
        <f t="shared" si="3"/>
        <v>25</v>
      </c>
      <c r="G34" s="66">
        <f>(1+$G$10)^(19/365)</f>
        <v>1.0023288550727552</v>
      </c>
      <c r="H34" s="364">
        <v>0.5</v>
      </c>
      <c r="I34" s="365">
        <v>3</v>
      </c>
      <c r="J34" s="166">
        <f t="shared" si="19"/>
        <v>3.5</v>
      </c>
      <c r="K34" s="41">
        <f>+H34*$G$34</f>
        <v>0.50116442753637758</v>
      </c>
      <c r="L34" s="37">
        <f>+I34*$G$34</f>
        <v>3.0069865652182655</v>
      </c>
      <c r="M34" s="56">
        <f>+J34*$G$34</f>
        <v>3.508150992754643</v>
      </c>
      <c r="O34" s="164">
        <f>+'9'!F22-'9'!F16</f>
        <v>0.25221962999999992</v>
      </c>
      <c r="P34" s="165">
        <f>+'9'!G22-'9'!G16</f>
        <v>2.7295775400000002</v>
      </c>
      <c r="Q34" s="166">
        <f t="shared" si="11"/>
        <v>2.9817971700000001</v>
      </c>
      <c r="R34" s="41">
        <f t="shared" si="20"/>
        <v>0.25280701296477387</v>
      </c>
      <c r="S34" s="37">
        <f t="shared" si="12"/>
        <v>2.7359343305005077</v>
      </c>
      <c r="T34" s="56">
        <f t="shared" si="13"/>
        <v>2.9887413434652816</v>
      </c>
      <c r="V34" s="164">
        <f t="shared" si="8"/>
        <v>-0.24778037000000008</v>
      </c>
      <c r="W34" s="165">
        <f t="shared" si="8"/>
        <v>-0.27042245999999981</v>
      </c>
      <c r="X34" s="166">
        <f t="shared" si="14"/>
        <v>-0.51820282999999989</v>
      </c>
      <c r="Y34" s="41">
        <f t="shared" si="15"/>
        <v>-0.24835741457160371</v>
      </c>
      <c r="Z34" s="37">
        <f t="shared" si="16"/>
        <v>-0.27105223471775775</v>
      </c>
      <c r="AA34" s="56">
        <f t="shared" si="17"/>
        <v>-0.5194096492893614</v>
      </c>
      <c r="AB34" s="7"/>
      <c r="AF34" s="546"/>
    </row>
    <row r="35" spans="2:37">
      <c r="B35" s="6"/>
      <c r="C35" s="12" t="s">
        <v>266</v>
      </c>
      <c r="D35" s="12" t="s">
        <v>266</v>
      </c>
      <c r="E35" s="69" t="s">
        <v>244</v>
      </c>
      <c r="F35" s="14">
        <f t="shared" si="3"/>
        <v>26</v>
      </c>
      <c r="G35" s="65">
        <f>(1+$G$10)^(19/365)</f>
        <v>1.0023288550727552</v>
      </c>
      <c r="H35" s="364">
        <v>-0.65821426160327845</v>
      </c>
      <c r="I35" s="365">
        <v>-6.469223407175112E-2</v>
      </c>
      <c r="J35" s="163">
        <f t="shared" si="19"/>
        <v>-0.72290649567502951</v>
      </c>
      <c r="K35" s="40">
        <f>+H35*$G$35</f>
        <v>-0.65974714722537309</v>
      </c>
      <c r="L35" s="38">
        <f>+I35*$G$35</f>
        <v>-6.4842892909236977E-2</v>
      </c>
      <c r="M35" s="55">
        <f>+J35*$G$35</f>
        <v>-0.72459004013460993</v>
      </c>
      <c r="N35" s="13"/>
      <c r="O35" s="161">
        <f>+'9'!F16</f>
        <v>1.3381442391141145</v>
      </c>
      <c r="P35" s="162">
        <f>+'9'!G16</f>
        <v>0.4842771367593629</v>
      </c>
      <c r="Q35" s="163">
        <f t="shared" ref="Q35:Q37" si="21">+O35+P35</f>
        <v>1.8224213758734775</v>
      </c>
      <c r="R35" s="40">
        <f t="shared" si="20"/>
        <v>1.3412605831134534</v>
      </c>
      <c r="S35" s="38">
        <f t="shared" si="12"/>
        <v>0.48540494802592427</v>
      </c>
      <c r="T35" s="55">
        <f t="shared" si="13"/>
        <v>1.8266655311393778</v>
      </c>
      <c r="U35" s="13"/>
      <c r="V35" s="161">
        <f t="shared" si="8"/>
        <v>1.996358500717393</v>
      </c>
      <c r="W35" s="162">
        <f t="shared" si="8"/>
        <v>0.54896937083111408</v>
      </c>
      <c r="X35" s="163">
        <f t="shared" si="14"/>
        <v>2.545327871548507</v>
      </c>
      <c r="Y35" s="40">
        <f t="shared" si="15"/>
        <v>2.0010077303388263</v>
      </c>
      <c r="Z35" s="38">
        <f t="shared" si="16"/>
        <v>0.55024784093516121</v>
      </c>
      <c r="AA35" s="55">
        <f t="shared" si="17"/>
        <v>2.5512555712739875</v>
      </c>
      <c r="AB35" s="7"/>
      <c r="AF35" s="546"/>
    </row>
    <row r="36" spans="2:37">
      <c r="B36" s="753" t="s">
        <v>305</v>
      </c>
      <c r="C36" s="75" t="s">
        <v>245</v>
      </c>
      <c r="D36" s="75" t="s">
        <v>246</v>
      </c>
      <c r="E36" s="125"/>
      <c r="F36" s="5">
        <f t="shared" si="3"/>
        <v>27</v>
      </c>
      <c r="G36" s="77">
        <f>(1+$G$10)^(19/365)</f>
        <v>1.0023288550727552</v>
      </c>
      <c r="H36" s="167"/>
      <c r="I36" s="168"/>
      <c r="J36" s="169"/>
      <c r="K36" s="80"/>
      <c r="L36" s="78"/>
      <c r="M36" s="79"/>
      <c r="O36" s="180">
        <f>+'12'!E38</f>
        <v>2.3811909299999923</v>
      </c>
      <c r="P36" s="181">
        <f>+'12'!F38</f>
        <v>3.8381550000000014E-2</v>
      </c>
      <c r="Q36" s="182">
        <f t="shared" si="21"/>
        <v>2.4195724799999923</v>
      </c>
      <c r="R36" s="87">
        <f t="shared" si="20"/>
        <v>2.3867363785765212</v>
      </c>
      <c r="S36" s="88">
        <f t="shared" si="12"/>
        <v>3.8470935067417722E-2</v>
      </c>
      <c r="T36" s="89">
        <f t="shared" si="13"/>
        <v>2.4252073136439392</v>
      </c>
      <c r="U36" s="4"/>
      <c r="V36" s="180">
        <f t="shared" si="8"/>
        <v>2.3811909299999923</v>
      </c>
      <c r="W36" s="181">
        <f t="shared" si="8"/>
        <v>3.8381550000000014E-2</v>
      </c>
      <c r="X36" s="182">
        <f t="shared" si="14"/>
        <v>2.4195724799999923</v>
      </c>
      <c r="Y36" s="87">
        <f t="shared" si="15"/>
        <v>2.3867363785765212</v>
      </c>
      <c r="Z36" s="88">
        <f t="shared" si="16"/>
        <v>3.8470935067417722E-2</v>
      </c>
      <c r="AA36" s="89">
        <f t="shared" si="17"/>
        <v>2.4252073136439387</v>
      </c>
      <c r="AB36" s="7"/>
      <c r="AF36" s="546"/>
    </row>
    <row r="37" spans="2:37">
      <c r="B37" s="759"/>
      <c r="C37" s="15" t="s">
        <v>313</v>
      </c>
      <c r="D37" s="15" t="s">
        <v>241</v>
      </c>
      <c r="E37" s="91"/>
      <c r="F37" s="17">
        <f t="shared" si="3"/>
        <v>28</v>
      </c>
      <c r="G37" s="65">
        <f>(1+$G$10)^(0/365)</f>
        <v>1</v>
      </c>
      <c r="H37" s="183"/>
      <c r="I37" s="184"/>
      <c r="J37" s="185"/>
      <c r="K37" s="95"/>
      <c r="L37" s="96"/>
      <c r="M37" s="97"/>
      <c r="N37" s="13"/>
      <c r="O37" s="676">
        <v>-11.956851178431839</v>
      </c>
      <c r="P37" s="677">
        <v>0</v>
      </c>
      <c r="Q37" s="163">
        <f t="shared" si="21"/>
        <v>-11.956851178431839</v>
      </c>
      <c r="R37" s="40">
        <f t="shared" si="20"/>
        <v>-11.956851178431839</v>
      </c>
      <c r="S37" s="38">
        <f t="shared" si="12"/>
        <v>0</v>
      </c>
      <c r="T37" s="55">
        <f t="shared" si="13"/>
        <v>-11.956851178431839</v>
      </c>
      <c r="U37" s="16"/>
      <c r="V37" s="199">
        <f t="shared" si="8"/>
        <v>-11.956851178431839</v>
      </c>
      <c r="W37" s="200">
        <f t="shared" si="8"/>
        <v>0</v>
      </c>
      <c r="X37" s="179">
        <f t="shared" si="14"/>
        <v>-11.956851178431839</v>
      </c>
      <c r="Y37" s="93">
        <f t="shared" si="15"/>
        <v>-11.956851178431839</v>
      </c>
      <c r="Z37" s="94">
        <f t="shared" si="16"/>
        <v>0</v>
      </c>
      <c r="AA37" s="92">
        <f t="shared" si="17"/>
        <v>-11.956851178431839</v>
      </c>
      <c r="AB37" s="7"/>
      <c r="AC37" s="620"/>
      <c r="AF37" s="546"/>
    </row>
    <row r="38" spans="2:37">
      <c r="B38" s="753" t="s">
        <v>314</v>
      </c>
      <c r="C38" s="75" t="s">
        <v>315</v>
      </c>
      <c r="D38" s="76" t="s">
        <v>316</v>
      </c>
      <c r="E38" s="100"/>
      <c r="F38" s="7">
        <f t="shared" si="3"/>
        <v>29</v>
      </c>
      <c r="G38" s="77">
        <v>1</v>
      </c>
      <c r="H38" s="368">
        <v>10.915106553129021</v>
      </c>
      <c r="I38" s="368">
        <v>3.2371961400201599E-4</v>
      </c>
      <c r="J38" s="182">
        <f>+H38+I38</f>
        <v>10.915430272743023</v>
      </c>
      <c r="K38" s="87">
        <f>+H38*$G$38</f>
        <v>10.915106553129021</v>
      </c>
      <c r="L38" s="88">
        <f>+I38*$G$38</f>
        <v>3.2371961400201599E-4</v>
      </c>
      <c r="M38" s="89">
        <f>+J38*$G$38</f>
        <v>10.915430272743023</v>
      </c>
      <c r="O38" s="167"/>
      <c r="P38" s="168"/>
      <c r="Q38" s="169"/>
      <c r="R38" s="80"/>
      <c r="S38" s="78"/>
      <c r="T38" s="79"/>
      <c r="U38" s="4"/>
      <c r="V38" s="164">
        <f>+O38-H38</f>
        <v>-10.915106553129021</v>
      </c>
      <c r="W38" s="165">
        <f>+P38-I38</f>
        <v>-3.2371961400201599E-4</v>
      </c>
      <c r="X38" s="166">
        <f t="shared" si="14"/>
        <v>-10.915430272743023</v>
      </c>
      <c r="Y38" s="41">
        <f t="shared" si="15"/>
        <v>-10.915106553129021</v>
      </c>
      <c r="Z38" s="37">
        <f t="shared" si="16"/>
        <v>-3.2371961400201599E-4</v>
      </c>
      <c r="AA38" s="56">
        <f t="shared" si="17"/>
        <v>-10.915430272743023</v>
      </c>
      <c r="AB38" s="7"/>
      <c r="AF38" s="546"/>
    </row>
    <row r="39" spans="2:37">
      <c r="B39" s="754"/>
      <c r="C39" s="12" t="s">
        <v>317</v>
      </c>
      <c r="D39" s="69" t="s">
        <v>318</v>
      </c>
      <c r="E39" s="119"/>
      <c r="F39" s="14">
        <f t="shared" si="3"/>
        <v>30</v>
      </c>
      <c r="G39" s="65">
        <f>(1+$G$10)^(0/365)</f>
        <v>1</v>
      </c>
      <c r="H39" s="363">
        <v>0</v>
      </c>
      <c r="I39" s="363">
        <v>0</v>
      </c>
      <c r="J39" s="163">
        <f>+H39+I39</f>
        <v>0</v>
      </c>
      <c r="K39" s="40">
        <f>+H39*$G$39</f>
        <v>0</v>
      </c>
      <c r="L39" s="38">
        <f>+I39*$G$39</f>
        <v>0</v>
      </c>
      <c r="M39" s="55">
        <f>+J39*$G$39</f>
        <v>0</v>
      </c>
      <c r="N39" s="13"/>
      <c r="O39" s="170"/>
      <c r="P39" s="171"/>
      <c r="Q39" s="172"/>
      <c r="R39" s="74"/>
      <c r="S39" s="72"/>
      <c r="T39" s="73"/>
      <c r="U39" s="13"/>
      <c r="V39" s="161">
        <f>+O39-H39</f>
        <v>0</v>
      </c>
      <c r="W39" s="162">
        <f>+P39-I39</f>
        <v>0</v>
      </c>
      <c r="X39" s="163">
        <f t="shared" si="14"/>
        <v>0</v>
      </c>
      <c r="Y39" s="40">
        <f t="shared" ref="Y39:Z41" si="22">+R39-K39</f>
        <v>0</v>
      </c>
      <c r="Z39" s="38">
        <f t="shared" si="22"/>
        <v>0</v>
      </c>
      <c r="AA39" s="55">
        <f t="shared" si="17"/>
        <v>0</v>
      </c>
      <c r="AB39" s="7"/>
      <c r="AF39" s="546"/>
    </row>
    <row r="40" spans="2:37">
      <c r="B40" s="754"/>
      <c r="C40" s="6" t="s">
        <v>268</v>
      </c>
      <c r="D40" s="68" t="s">
        <v>268</v>
      </c>
      <c r="E40" s="100"/>
      <c r="F40" s="7">
        <f t="shared" si="3"/>
        <v>31</v>
      </c>
      <c r="G40" s="66">
        <f>(1+$G$10)^(19/365)</f>
        <v>1.0023288550727552</v>
      </c>
      <c r="H40" s="364">
        <v>0</v>
      </c>
      <c r="I40" s="365">
        <v>0</v>
      </c>
      <c r="J40" s="166">
        <f>+H40+I40</f>
        <v>0</v>
      </c>
      <c r="K40" s="41">
        <f>+H40*$G$40</f>
        <v>0</v>
      </c>
      <c r="L40" s="37">
        <f>+I40*$G$40</f>
        <v>0</v>
      </c>
      <c r="M40" s="56">
        <f>+J40*$G$40</f>
        <v>0</v>
      </c>
      <c r="O40" s="676">
        <v>0</v>
      </c>
      <c r="P40" s="678">
        <v>0</v>
      </c>
      <c r="Q40" s="166">
        <f>+O40+P40</f>
        <v>0</v>
      </c>
      <c r="R40" s="41">
        <f>+O40*$G40</f>
        <v>0</v>
      </c>
      <c r="S40" s="37">
        <f t="shared" ref="S40" si="23">+P40*$G40</f>
        <v>0</v>
      </c>
      <c r="T40" s="56">
        <f t="shared" ref="T40" si="24">+Q40*$G40</f>
        <v>0</v>
      </c>
      <c r="V40" s="164">
        <f t="shared" si="8"/>
        <v>0</v>
      </c>
      <c r="W40" s="165">
        <f t="shared" si="8"/>
        <v>0</v>
      </c>
      <c r="X40" s="166">
        <f>+V40+W40</f>
        <v>0</v>
      </c>
      <c r="Y40" s="41">
        <f t="shared" si="22"/>
        <v>0</v>
      </c>
      <c r="Z40" s="37">
        <f t="shared" si="22"/>
        <v>0</v>
      </c>
      <c r="AA40" s="56">
        <f>+Y40+Z40</f>
        <v>0</v>
      </c>
      <c r="AB40" s="7"/>
      <c r="AF40" s="546"/>
    </row>
    <row r="41" spans="2:37">
      <c r="B41" s="755"/>
      <c r="C41" s="15" t="s">
        <v>319</v>
      </c>
      <c r="D41" s="90" t="s">
        <v>311</v>
      </c>
      <c r="E41" s="91"/>
      <c r="F41" s="90">
        <f t="shared" si="3"/>
        <v>32</v>
      </c>
      <c r="G41" s="91"/>
      <c r="H41" s="183"/>
      <c r="I41" s="184"/>
      <c r="J41" s="185"/>
      <c r="K41" s="95"/>
      <c r="L41" s="96"/>
      <c r="M41" s="97"/>
      <c r="N41" s="13"/>
      <c r="O41" s="201"/>
      <c r="P41" s="202"/>
      <c r="Q41" s="203"/>
      <c r="R41" s="93">
        <f>-R32*0.28</f>
        <v>6.6752903725887007</v>
      </c>
      <c r="S41" s="94">
        <f>-S32*0.28</f>
        <v>0.17479501194485331</v>
      </c>
      <c r="T41" s="92">
        <f xml:space="preserve"> -T32*0.28</f>
        <v>6.8500853845335543</v>
      </c>
      <c r="U41" s="16"/>
      <c r="V41" s="201"/>
      <c r="W41" s="202"/>
      <c r="X41" s="203"/>
      <c r="Y41" s="93">
        <f t="shared" si="22"/>
        <v>6.6752903725887007</v>
      </c>
      <c r="Z41" s="94">
        <f t="shared" si="22"/>
        <v>0.17479501194485331</v>
      </c>
      <c r="AA41" s="92">
        <f>+Y41+Z41</f>
        <v>6.8500853845335543</v>
      </c>
      <c r="AB41" s="7"/>
      <c r="AF41" s="546"/>
    </row>
    <row r="42" spans="2:37" ht="23.25" customHeight="1">
      <c r="B42" s="6"/>
      <c r="C42" s="42" t="s">
        <v>320</v>
      </c>
      <c r="D42" s="63" t="s">
        <v>321</v>
      </c>
      <c r="E42" s="63" t="s">
        <v>227</v>
      </c>
      <c r="F42" s="67">
        <f t="shared" si="3"/>
        <v>33</v>
      </c>
      <c r="G42" s="67"/>
      <c r="H42" s="176"/>
      <c r="I42" s="177"/>
      <c r="J42" s="178"/>
      <c r="K42" s="484">
        <f>+K27+SUM(K28:K41)</f>
        <v>745.20584830734924</v>
      </c>
      <c r="L42" s="485">
        <f>+L27+SUM(L28:L41)</f>
        <v>90.137680650965905</v>
      </c>
      <c r="M42" s="486">
        <f>+M27+SUM(M28:M41)</f>
        <v>835.34352895831512</v>
      </c>
      <c r="O42" s="176"/>
      <c r="P42" s="177"/>
      <c r="Q42" s="178"/>
      <c r="R42" s="484">
        <f>+SUM(R27:R41)</f>
        <v>771.38384048160322</v>
      </c>
      <c r="S42" s="485">
        <f>+SUM(S27:S41)</f>
        <v>93.832953981913064</v>
      </c>
      <c r="T42" s="486">
        <f>+SUM(T27:T41)</f>
        <v>865.21679446351607</v>
      </c>
      <c r="V42" s="176"/>
      <c r="W42" s="177"/>
      <c r="X42" s="178"/>
      <c r="Y42" s="43">
        <f>+SUM(Y27:Y41)</f>
        <v>26.177992174253827</v>
      </c>
      <c r="Z42" s="44">
        <f>+SUM(Z27:Z41)</f>
        <v>3.6952733309471584</v>
      </c>
      <c r="AA42" s="57">
        <f>+SUM(AA27:AA41)</f>
        <v>29.87326550520098</v>
      </c>
      <c r="AB42" s="7"/>
      <c r="AH42" s="621" t="s">
        <v>322</v>
      </c>
      <c r="AI42" s="621" t="s">
        <v>323</v>
      </c>
      <c r="AJ42" s="621" t="s">
        <v>324</v>
      </c>
    </row>
    <row r="43" spans="2:37" ht="23.25" customHeight="1" thickBot="1">
      <c r="B43" s="6"/>
      <c r="H43" s="211"/>
      <c r="I43" s="211"/>
      <c r="J43" s="211"/>
      <c r="O43" s="211"/>
      <c r="P43" s="211"/>
      <c r="Q43" s="211"/>
      <c r="V43" s="211"/>
      <c r="W43" s="211"/>
      <c r="X43" s="211"/>
      <c r="AB43" s="7"/>
      <c r="AD43" s="2" t="s">
        <v>325</v>
      </c>
      <c r="AH43" s="521">
        <f>+M27</f>
        <v>227.7692890051762</v>
      </c>
      <c r="AI43" s="521">
        <f>+T27</f>
        <v>234.25558862119271</v>
      </c>
      <c r="AJ43" s="521">
        <f>+AH43-AI43</f>
        <v>-6.4862996160165096</v>
      </c>
      <c r="AK43" s="546"/>
    </row>
    <row r="44" spans="2:37">
      <c r="B44" s="6"/>
      <c r="C44" s="107" t="s">
        <v>320</v>
      </c>
      <c r="D44" s="135" t="s">
        <v>326</v>
      </c>
      <c r="E44" s="108"/>
      <c r="F44" s="131">
        <f>+F42+1</f>
        <v>34</v>
      </c>
      <c r="G44" s="132"/>
      <c r="H44" s="186"/>
      <c r="I44" s="187"/>
      <c r="J44" s="188"/>
      <c r="K44" s="111">
        <f>+K42</f>
        <v>745.20584830734924</v>
      </c>
      <c r="L44" s="112">
        <f>+L42</f>
        <v>90.137680650965905</v>
      </c>
      <c r="M44" s="122">
        <f>+SUM(K44:L44)</f>
        <v>835.34352895831512</v>
      </c>
      <c r="O44" s="186"/>
      <c r="P44" s="187"/>
      <c r="Q44" s="188"/>
      <c r="R44" s="109"/>
      <c r="S44" s="110"/>
      <c r="T44" s="113"/>
      <c r="V44" s="186"/>
      <c r="W44" s="187"/>
      <c r="X44" s="188"/>
      <c r="Y44" s="109"/>
      <c r="Z44" s="110"/>
      <c r="AA44" s="113"/>
      <c r="AB44" s="7"/>
      <c r="AD44" s="2" t="s">
        <v>327</v>
      </c>
      <c r="AH44" s="521">
        <f>+M28</f>
        <v>256.64977699872537</v>
      </c>
      <c r="AI44" s="521">
        <f>+T28</f>
        <v>267.93020967514281</v>
      </c>
      <c r="AJ44" s="521">
        <f t="shared" ref="AJ44:AJ46" si="25">+AH44-AI44</f>
        <v>-11.280432676417433</v>
      </c>
      <c r="AK44" s="546"/>
    </row>
    <row r="45" spans="2:37">
      <c r="B45" s="6"/>
      <c r="C45" s="118" t="s">
        <v>328</v>
      </c>
      <c r="D45" s="69" t="s">
        <v>329</v>
      </c>
      <c r="E45" s="120"/>
      <c r="F45" s="127">
        <f>+F44+1</f>
        <v>35</v>
      </c>
      <c r="G45" s="133"/>
      <c r="H45" s="189"/>
      <c r="I45" s="171"/>
      <c r="J45" s="172"/>
      <c r="K45" s="366">
        <v>2.3484061027721737</v>
      </c>
      <c r="L45" s="367">
        <v>2.4863193490341047</v>
      </c>
      <c r="M45" s="123">
        <f>+SUM(K45:L45)</f>
        <v>4.8347254518062783</v>
      </c>
      <c r="N45" s="13"/>
      <c r="O45" s="189"/>
      <c r="P45" s="171"/>
      <c r="Q45" s="172"/>
      <c r="R45" s="74"/>
      <c r="S45" s="72"/>
      <c r="T45" s="121"/>
      <c r="U45" s="13"/>
      <c r="V45" s="189"/>
      <c r="W45" s="171"/>
      <c r="X45" s="172"/>
      <c r="Y45" s="40">
        <f>+R45-K45</f>
        <v>-2.3484061027721737</v>
      </c>
      <c r="Z45" s="38">
        <f>+S45-L45</f>
        <v>-2.4863193490341047</v>
      </c>
      <c r="AA45" s="123">
        <f>+SUM(Y45:Z45)</f>
        <v>-4.8347254518062783</v>
      </c>
      <c r="AB45" s="7"/>
      <c r="AD45" s="2" t="s">
        <v>330</v>
      </c>
      <c r="AH45" s="521">
        <f>+M29</f>
        <v>296.56946239552747</v>
      </c>
      <c r="AI45" s="521">
        <f>+T29</f>
        <v>337.06227728951012</v>
      </c>
      <c r="AJ45" s="521">
        <f t="shared" si="25"/>
        <v>-40.492814893982654</v>
      </c>
      <c r="AK45" s="546"/>
    </row>
    <row r="46" spans="2:37" ht="23.25" customHeight="1">
      <c r="B46" s="6"/>
      <c r="C46" s="115" t="s">
        <v>331</v>
      </c>
      <c r="D46" s="63" t="s">
        <v>332</v>
      </c>
      <c r="E46" s="106"/>
      <c r="F46" s="128">
        <f>+F45+1</f>
        <v>36</v>
      </c>
      <c r="G46" s="666"/>
      <c r="H46" s="667"/>
      <c r="I46" s="190"/>
      <c r="J46" s="191"/>
      <c r="K46" s="43">
        <f>+SUM(K44:K45)</f>
        <v>747.55425441012142</v>
      </c>
      <c r="L46" s="44">
        <f>+SUM(L44:L45)</f>
        <v>92.624000000000009</v>
      </c>
      <c r="M46" s="124">
        <f>+SUM(M44:M45)</f>
        <v>840.17825441012144</v>
      </c>
      <c r="O46" s="204"/>
      <c r="P46" s="205"/>
      <c r="Q46" s="206"/>
      <c r="R46" s="104"/>
      <c r="S46" s="105"/>
      <c r="T46" s="116"/>
      <c r="V46" s="204"/>
      <c r="W46" s="205"/>
      <c r="X46" s="206"/>
      <c r="Y46" s="104"/>
      <c r="Z46" s="105"/>
      <c r="AA46" s="116"/>
      <c r="AB46" s="7"/>
      <c r="AD46" s="2" t="s">
        <v>333</v>
      </c>
      <c r="AH46" s="521">
        <f>+M30</f>
        <v>41.896138982565418</v>
      </c>
      <c r="AI46" s="521">
        <f>+T30</f>
        <v>23.082921260048622</v>
      </c>
      <c r="AJ46" s="521">
        <f t="shared" si="25"/>
        <v>18.813217722516796</v>
      </c>
      <c r="AK46" s="546"/>
    </row>
    <row r="47" spans="2:37">
      <c r="B47" s="6"/>
      <c r="C47" s="48" t="s">
        <v>334</v>
      </c>
      <c r="D47" s="68" t="s">
        <v>335</v>
      </c>
      <c r="E47" s="101"/>
      <c r="F47" s="129">
        <f>+F46+1</f>
        <v>37</v>
      </c>
      <c r="G47" s="668"/>
      <c r="H47" s="192"/>
      <c r="I47" s="193"/>
      <c r="J47" s="194"/>
      <c r="K47" s="41">
        <f>+'6'!E18</f>
        <v>9.7232632287012635</v>
      </c>
      <c r="L47" s="37">
        <f>+'6'!F18</f>
        <v>1.2280200008941382</v>
      </c>
      <c r="M47" s="59">
        <f>+SUM(K47:L47)</f>
        <v>10.951283229595402</v>
      </c>
      <c r="O47" s="192"/>
      <c r="P47" s="193"/>
      <c r="Q47" s="194"/>
      <c r="R47" s="102"/>
      <c r="S47" s="103"/>
      <c r="T47" s="114"/>
      <c r="V47" s="192"/>
      <c r="W47" s="193"/>
      <c r="X47" s="194"/>
      <c r="Y47" s="41">
        <f>+R47-K47</f>
        <v>-9.7232632287012635</v>
      </c>
      <c r="Z47" s="37">
        <f>+S47-L47</f>
        <v>-1.2280200008941382</v>
      </c>
      <c r="AA47" s="59">
        <f>+SUM(Y47:Z47)</f>
        <v>-10.951283229595402</v>
      </c>
      <c r="AB47" s="7"/>
      <c r="AD47" s="2" t="s">
        <v>336</v>
      </c>
      <c r="AH47" s="521"/>
      <c r="AI47" s="521">
        <f>-T36</f>
        <v>-2.4252073136439392</v>
      </c>
      <c r="AJ47" s="521">
        <f>-AH47+AI47</f>
        <v>-2.4252073136439392</v>
      </c>
      <c r="AK47" s="546"/>
    </row>
    <row r="48" spans="2:37">
      <c r="B48" s="6"/>
      <c r="C48" s="118" t="s">
        <v>337</v>
      </c>
      <c r="D48" s="69" t="s">
        <v>338</v>
      </c>
      <c r="E48" s="120"/>
      <c r="F48" s="127">
        <f>+F47+1</f>
        <v>38</v>
      </c>
      <c r="G48" s="133"/>
      <c r="H48" s="189"/>
      <c r="I48" s="171"/>
      <c r="J48" s="172"/>
      <c r="K48" s="599">
        <f>+K49-K46-K47</f>
        <v>1.7696676336222694</v>
      </c>
      <c r="L48" s="600">
        <f>+L49-L46-L47</f>
        <v>2.013442366256494</v>
      </c>
      <c r="M48" s="123">
        <f>+SUM(K48:L48)</f>
        <v>3.7831099998787634</v>
      </c>
      <c r="N48" s="13"/>
      <c r="O48" s="189"/>
      <c r="P48" s="171"/>
      <c r="Q48" s="172"/>
      <c r="R48" s="74"/>
      <c r="S48" s="72"/>
      <c r="T48" s="121"/>
      <c r="U48" s="13"/>
      <c r="V48" s="189"/>
      <c r="W48" s="171"/>
      <c r="X48" s="172"/>
      <c r="Y48" s="40">
        <f>+R48-K48</f>
        <v>-1.7696676336222694</v>
      </c>
      <c r="Z48" s="38">
        <f>+S48-L48</f>
        <v>-2.013442366256494</v>
      </c>
      <c r="AA48" s="123">
        <f>+SUM(Y48:Z48)</f>
        <v>-3.7831099998787634</v>
      </c>
      <c r="AB48" s="7"/>
      <c r="AD48" s="2" t="s">
        <v>894</v>
      </c>
      <c r="AH48" s="521"/>
      <c r="AI48" s="521">
        <f>-T37</f>
        <v>11.956851178431839</v>
      </c>
      <c r="AJ48" s="521">
        <f>-AH48+AI48</f>
        <v>11.956851178431839</v>
      </c>
      <c r="AK48" s="546"/>
    </row>
    <row r="49" spans="2:37" ht="23.25" customHeight="1" thickBot="1">
      <c r="B49" s="6"/>
      <c r="C49" s="49" t="s">
        <v>339</v>
      </c>
      <c r="D49" s="71" t="s">
        <v>340</v>
      </c>
      <c r="E49" s="117"/>
      <c r="F49" s="130">
        <f>+F48+1</f>
        <v>39</v>
      </c>
      <c r="G49" s="134"/>
      <c r="H49" s="669"/>
      <c r="I49" s="195"/>
      <c r="J49" s="196"/>
      <c r="K49" s="50">
        <f>+'6'!E19</f>
        <v>759.04718527244495</v>
      </c>
      <c r="L49" s="51">
        <f>+'6'!F19</f>
        <v>95.865462367150641</v>
      </c>
      <c r="M49" s="60">
        <f>+SUM(K49:L49)</f>
        <v>854.91264763959555</v>
      </c>
      <c r="O49" s="207"/>
      <c r="P49" s="208"/>
      <c r="Q49" s="209"/>
      <c r="R49" s="50">
        <f>+R42</f>
        <v>771.38384048160322</v>
      </c>
      <c r="S49" s="51">
        <f>+S42</f>
        <v>93.832953981913064</v>
      </c>
      <c r="T49" s="60">
        <f>+SUM(R49:S49)</f>
        <v>865.21679446351629</v>
      </c>
      <c r="V49" s="207"/>
      <c r="W49" s="208"/>
      <c r="X49" s="209"/>
      <c r="Y49" s="50">
        <f>+Y42+Y47+Y48+Y45</f>
        <v>12.336655209158121</v>
      </c>
      <c r="Z49" s="51">
        <f>+Z42+Z47+Z48+Z45</f>
        <v>-2.0325083852375787</v>
      </c>
      <c r="AA49" s="60">
        <f>+AA42+AA47+AA48+AA45</f>
        <v>10.304146823920536</v>
      </c>
      <c r="AB49" s="7"/>
      <c r="AD49" s="2" t="str">
        <f>+C38</f>
        <v>Incremental revenue for major or listed projects approved in RCP3</v>
      </c>
      <c r="AH49" s="521"/>
      <c r="AI49" s="521">
        <f>+M38</f>
        <v>10.915430272743023</v>
      </c>
      <c r="AJ49" s="521">
        <f>-AA38</f>
        <v>10.915430272743023</v>
      </c>
      <c r="AK49" s="546"/>
    </row>
    <row r="50" spans="2:37" ht="15.75" customHeight="1">
      <c r="B50" s="6"/>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7"/>
      <c r="AD50" s="2" t="str">
        <f>+C47</f>
        <v>Miscellaneous revenue received</v>
      </c>
      <c r="AI50" s="521">
        <f>-M47</f>
        <v>-10.951283229595402</v>
      </c>
      <c r="AJ50" s="521">
        <f>+AA47</f>
        <v>-10.951283229595402</v>
      </c>
      <c r="AK50" s="546">
        <v>-10.9</v>
      </c>
    </row>
    <row r="51" spans="2:37" ht="15" customHeight="1">
      <c r="B51" s="6"/>
      <c r="C51" s="760" t="s">
        <v>341</v>
      </c>
      <c r="D51" s="761"/>
      <c r="E51" s="761"/>
      <c r="F51" s="761"/>
      <c r="G51" s="761"/>
      <c r="H51" s="761"/>
      <c r="I51" s="761"/>
      <c r="J51" s="761"/>
      <c r="K51" s="761"/>
      <c r="L51" s="761"/>
      <c r="M51" s="761"/>
      <c r="N51" s="98"/>
      <c r="O51" s="98"/>
      <c r="P51" s="98"/>
      <c r="Q51" s="98"/>
      <c r="R51" s="98"/>
      <c r="S51" s="98"/>
      <c r="T51" s="98"/>
      <c r="U51" s="98"/>
      <c r="V51" s="98"/>
      <c r="W51" s="98"/>
      <c r="X51" s="98"/>
      <c r="Y51" s="98"/>
      <c r="Z51" s="98"/>
      <c r="AA51" s="98"/>
      <c r="AB51" s="7"/>
      <c r="AJ51" s="521"/>
      <c r="AK51" s="546"/>
    </row>
    <row r="52" spans="2:37">
      <c r="B52" s="6"/>
      <c r="C52" s="2" t="s">
        <v>911</v>
      </c>
      <c r="D52" s="385" t="s">
        <v>909</v>
      </c>
      <c r="AB52" s="7"/>
      <c r="AD52" s="2" t="s">
        <v>342</v>
      </c>
      <c r="AI52" s="547">
        <f>M45</f>
        <v>4.8347254518062783</v>
      </c>
      <c r="AJ52" s="521">
        <f>-AA45</f>
        <v>4.8347254518062783</v>
      </c>
      <c r="AK52" s="546"/>
    </row>
    <row r="53" spans="2:37" ht="37.5" customHeight="1">
      <c r="B53" s="750" t="s">
        <v>344</v>
      </c>
      <c r="C53" s="751"/>
      <c r="D53" s="751"/>
      <c r="E53" s="751"/>
      <c r="F53" s="751"/>
      <c r="G53" s="751"/>
      <c r="H53" s="751"/>
      <c r="I53" s="751"/>
      <c r="J53" s="751"/>
      <c r="K53" s="751"/>
      <c r="L53" s="751"/>
      <c r="M53" s="751"/>
      <c r="N53" s="751"/>
      <c r="O53" s="751"/>
      <c r="P53" s="751"/>
      <c r="Q53" s="751"/>
      <c r="R53" s="751"/>
      <c r="S53" s="751"/>
      <c r="T53" s="751"/>
      <c r="U53" s="751"/>
      <c r="V53" s="751"/>
      <c r="W53" s="751"/>
      <c r="X53" s="751"/>
      <c r="Y53" s="751"/>
      <c r="Z53" s="751"/>
      <c r="AA53" s="751"/>
      <c r="AB53" s="752"/>
      <c r="AD53" s="2" t="s">
        <v>343</v>
      </c>
      <c r="AH53" s="521"/>
      <c r="AI53" s="674">
        <f>+M47+M48</f>
        <v>14.734393229474165</v>
      </c>
      <c r="AJ53" s="521">
        <f>-AA47-AA48</f>
        <v>14.734393229474165</v>
      </c>
      <c r="AK53" s="546">
        <f>SUM(AJ43:AJ53)</f>
        <v>-10.381419874683836</v>
      </c>
    </row>
    <row r="54" spans="2:37">
      <c r="B54" s="6" t="s">
        <v>22</v>
      </c>
      <c r="AB54" s="7"/>
      <c r="AD54" s="2" t="s">
        <v>345</v>
      </c>
      <c r="AJ54" s="521">
        <f>-AA49</f>
        <v>-10.304146823920536</v>
      </c>
      <c r="AK54" s="546"/>
    </row>
    <row r="55" spans="2:37">
      <c r="B55" s="6"/>
      <c r="AB55" s="7"/>
      <c r="AJ55" s="521"/>
    </row>
    <row r="56" spans="2:37">
      <c r="B56" s="6"/>
      <c r="C56" s="136" t="s">
        <v>167</v>
      </c>
      <c r="D56" s="136"/>
      <c r="AB56" s="7"/>
    </row>
    <row r="57" spans="2:37">
      <c r="B57" s="6"/>
      <c r="C57" s="151"/>
      <c r="D57" s="378"/>
      <c r="E57" s="256" t="s">
        <v>346</v>
      </c>
      <c r="F57" s="147" t="s">
        <v>347</v>
      </c>
      <c r="G57" s="148" t="s">
        <v>348</v>
      </c>
      <c r="AB57" s="7"/>
    </row>
    <row r="58" spans="2:37">
      <c r="B58" s="6"/>
      <c r="C58" s="377" t="s">
        <v>349</v>
      </c>
      <c r="D58" s="379"/>
      <c r="E58" s="380">
        <f>+K46</f>
        <v>747.55425441012142</v>
      </c>
      <c r="F58" s="380">
        <f>+L46</f>
        <v>92.624000000000009</v>
      </c>
      <c r="G58" s="381">
        <f>+E58+F58</f>
        <v>840.17825441012144</v>
      </c>
      <c r="AB58" s="7"/>
    </row>
    <row r="59" spans="2:37">
      <c r="B59" s="9"/>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23"/>
    </row>
  </sheetData>
  <mergeCells count="9">
    <mergeCell ref="B2:AB2"/>
    <mergeCell ref="B53:AB53"/>
    <mergeCell ref="B38:B41"/>
    <mergeCell ref="V7:AA7"/>
    <mergeCell ref="B24:B26"/>
    <mergeCell ref="H7:M7"/>
    <mergeCell ref="O7:T7"/>
    <mergeCell ref="B36:B37"/>
    <mergeCell ref="C51:M51"/>
  </mergeCells>
  <phoneticPr fontId="1" type="noConversion"/>
  <hyperlinks>
    <hyperlink ref="B53" location="Contents!A1" display="The forecast revenue for electricity transmission services used for setting charges under the TPM" xr:uid="{0B6E7E2B-9C97-4B50-B79C-9166F9D5B0CD}"/>
    <hyperlink ref="B2" location="Contents!A1" display="Full building blocks calculation of the wash-up for the disclosure year" xr:uid="{06F1B3BC-A1E7-4F56-9544-249E101E1A9F}"/>
  </hyperlinks>
  <pageMargins left="0.70866141732283472" right="0.70866141732283472" top="0.74803149606299213" bottom="0.74803149606299213" header="0.31496062992125984" footer="0.31496062992125984"/>
  <pageSetup paperSize="8" scale="50" orientation="landscape" r:id="rId1"/>
  <headerFooter>
    <oddFooter>&amp;L&amp;F&amp;C&amp;D&amp;RSheet: &amp;A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96FCF-8E51-4FA3-9845-5404C47BC560}">
  <sheetPr codeName="Sheet8">
    <tabColor rgb="FF92D050"/>
    <pageSetUpPr fitToPage="1"/>
  </sheetPr>
  <dimension ref="B2:Q27"/>
  <sheetViews>
    <sheetView view="pageBreakPreview" zoomScaleNormal="100" zoomScaleSheetLayoutView="100" workbookViewId="0"/>
  </sheetViews>
  <sheetFormatPr defaultColWidth="9.140625" defaultRowHeight="15"/>
  <cols>
    <col min="1" max="1" width="9.140625" style="2" customWidth="1"/>
    <col min="2" max="2" width="4.140625" style="2" customWidth="1"/>
    <col min="3" max="3" width="52.85546875" style="2" customWidth="1"/>
    <col min="4" max="4" width="10" style="2" customWidth="1"/>
    <col min="5" max="6" width="9.140625" style="2"/>
    <col min="7" max="7" width="12.5703125" style="2" bestFit="1" customWidth="1"/>
    <col min="8" max="16384" width="9.140625" style="2"/>
  </cols>
  <sheetData>
    <row r="2" spans="2:9" ht="18.75">
      <c r="B2" s="742" t="s">
        <v>350</v>
      </c>
      <c r="C2" s="743"/>
      <c r="D2" s="743"/>
      <c r="E2" s="743"/>
      <c r="F2" s="743"/>
      <c r="G2" s="743"/>
      <c r="H2" s="743"/>
      <c r="I2" s="749"/>
    </row>
    <row r="3" spans="2:9" ht="18.75">
      <c r="B3" s="750" t="s">
        <v>351</v>
      </c>
      <c r="C3" s="751"/>
      <c r="D3" s="751"/>
      <c r="E3" s="751"/>
      <c r="F3" s="751"/>
      <c r="G3" s="751"/>
      <c r="H3" s="751"/>
      <c r="I3" s="752"/>
    </row>
    <row r="4" spans="2:9">
      <c r="B4" s="6" t="s">
        <v>352</v>
      </c>
      <c r="I4" s="7"/>
    </row>
    <row r="5" spans="2:9">
      <c r="B5" s="6" t="s">
        <v>353</v>
      </c>
      <c r="I5" s="7"/>
    </row>
    <row r="6" spans="2:9">
      <c r="B6" s="6"/>
      <c r="I6" s="7"/>
    </row>
    <row r="7" spans="2:9">
      <c r="B7" s="6"/>
      <c r="C7" s="136" t="s">
        <v>167</v>
      </c>
      <c r="D7" s="136"/>
      <c r="I7" s="7"/>
    </row>
    <row r="8" spans="2:9">
      <c r="B8" s="6"/>
      <c r="C8" s="151"/>
      <c r="D8" s="214" t="s">
        <v>354</v>
      </c>
      <c r="E8" s="147" t="s">
        <v>346</v>
      </c>
      <c r="F8" s="147" t="s">
        <v>347</v>
      </c>
      <c r="G8" s="148" t="s">
        <v>355</v>
      </c>
      <c r="H8" s="148" t="s">
        <v>348</v>
      </c>
      <c r="I8" s="7"/>
    </row>
    <row r="9" spans="2:9">
      <c r="B9" s="6"/>
      <c r="C9" s="42" t="s">
        <v>356</v>
      </c>
      <c r="D9" s="641"/>
      <c r="E9" s="642">
        <v>0</v>
      </c>
      <c r="F9" s="642">
        <v>0</v>
      </c>
      <c r="G9" s="634"/>
      <c r="H9" s="643"/>
      <c r="I9" s="7"/>
    </row>
    <row r="10" spans="2:9">
      <c r="B10" s="212" t="s">
        <v>357</v>
      </c>
      <c r="C10" s="12" t="s">
        <v>358</v>
      </c>
      <c r="D10" s="630"/>
      <c r="E10" s="651">
        <v>0</v>
      </c>
      <c r="F10" s="652">
        <v>0</v>
      </c>
      <c r="G10" s="634"/>
      <c r="H10" s="643"/>
      <c r="I10" s="7"/>
    </row>
    <row r="11" spans="2:9">
      <c r="B11" s="212" t="s">
        <v>357</v>
      </c>
      <c r="C11" s="6" t="s">
        <v>359</v>
      </c>
      <c r="D11" s="631"/>
      <c r="E11" s="649">
        <v>0</v>
      </c>
      <c r="F11" s="650">
        <v>0</v>
      </c>
      <c r="G11" s="635"/>
      <c r="H11" s="644"/>
      <c r="I11" s="7"/>
    </row>
    <row r="12" spans="2:9">
      <c r="B12" s="212" t="s">
        <v>357</v>
      </c>
      <c r="C12" s="12" t="s">
        <v>360</v>
      </c>
      <c r="D12" s="632"/>
      <c r="E12" s="640">
        <v>0</v>
      </c>
      <c r="F12" s="637">
        <v>0</v>
      </c>
      <c r="G12" s="636"/>
      <c r="H12" s="645"/>
      <c r="I12" s="7"/>
    </row>
    <row r="13" spans="2:9">
      <c r="B13" s="212" t="s">
        <v>357</v>
      </c>
      <c r="C13" s="658" t="s">
        <v>361</v>
      </c>
      <c r="D13" s="659"/>
      <c r="E13" s="662">
        <f t="shared" ref="E13:E17" si="0">+G13*E$23</f>
        <v>111.49750587757546</v>
      </c>
      <c r="F13" s="662">
        <f>+G13*F$23</f>
        <v>14.081812252424536</v>
      </c>
      <c r="G13" s="660">
        <v>125.57931812999999</v>
      </c>
      <c r="H13" s="661">
        <f>G13</f>
        <v>125.57931812999999</v>
      </c>
      <c r="I13" s="7"/>
    </row>
    <row r="14" spans="2:9">
      <c r="B14" s="212" t="s">
        <v>357</v>
      </c>
      <c r="C14" s="12" t="s">
        <v>362</v>
      </c>
      <c r="D14" s="632"/>
      <c r="E14" s="663">
        <f t="shared" si="0"/>
        <v>236.83674404333621</v>
      </c>
      <c r="F14" s="663">
        <f t="shared" ref="F14:F16" si="1">+G14*F$23</f>
        <v>29.911795226663845</v>
      </c>
      <c r="G14" s="637">
        <v>266.74853927000004</v>
      </c>
      <c r="H14" s="633">
        <f t="shared" ref="H14:H16" si="2">G14</f>
        <v>266.74853927000004</v>
      </c>
      <c r="I14" s="7"/>
    </row>
    <row r="15" spans="2:9">
      <c r="B15" s="212" t="s">
        <v>357</v>
      </c>
      <c r="C15" s="629" t="s">
        <v>363</v>
      </c>
      <c r="D15" s="631"/>
      <c r="E15" s="664">
        <f t="shared" si="0"/>
        <v>423.12689067760454</v>
      </c>
      <c r="F15" s="664">
        <f t="shared" si="1"/>
        <v>53.439701512395438</v>
      </c>
      <c r="G15" s="638">
        <v>476.56659218999994</v>
      </c>
      <c r="H15" s="639">
        <f t="shared" si="2"/>
        <v>476.56659218999994</v>
      </c>
      <c r="I15" s="7"/>
    </row>
    <row r="16" spans="2:9">
      <c r="B16" s="212" t="s">
        <v>357</v>
      </c>
      <c r="C16" s="12" t="s">
        <v>364</v>
      </c>
      <c r="D16" s="632"/>
      <c r="E16" s="663">
        <f t="shared" si="0"/>
        <v>-5.5507556309855729E-4</v>
      </c>
      <c r="F16" s="663">
        <f t="shared" si="1"/>
        <v>-7.0104436901442587E-5</v>
      </c>
      <c r="G16" s="637">
        <v>-6.2517999999999992E-4</v>
      </c>
      <c r="H16" s="633">
        <f t="shared" si="2"/>
        <v>-6.2517999999999992E-4</v>
      </c>
      <c r="I16" s="7"/>
    </row>
    <row r="17" spans="2:17">
      <c r="B17" s="212" t="s">
        <v>357</v>
      </c>
      <c r="C17" s="6" t="s">
        <v>310</v>
      </c>
      <c r="D17" s="631"/>
      <c r="E17" s="665">
        <f t="shared" si="0"/>
        <v>-22.136663479209602</v>
      </c>
      <c r="F17" s="665">
        <f>+G17*F$23</f>
        <v>-2.795796520790399</v>
      </c>
      <c r="G17" s="656">
        <v>-24.932459999999999</v>
      </c>
      <c r="H17" s="657">
        <f t="shared" ref="H17:H18" si="3">G17</f>
        <v>-24.932459999999999</v>
      </c>
      <c r="I17" s="7"/>
      <c r="J17" s="620"/>
    </row>
    <row r="18" spans="2:17">
      <c r="B18" s="212" t="s">
        <v>357</v>
      </c>
      <c r="C18" s="12" t="s">
        <v>243</v>
      </c>
      <c r="D18" s="632"/>
      <c r="E18" s="663">
        <f>+G18*E$23</f>
        <v>9.7232632287012635</v>
      </c>
      <c r="F18" s="663">
        <f>+G18*F$23</f>
        <v>1.2280200008941382</v>
      </c>
      <c r="G18" s="637">
        <v>10.951283229595401</v>
      </c>
      <c r="H18" s="633">
        <f t="shared" si="3"/>
        <v>10.951283229595401</v>
      </c>
      <c r="I18" s="7"/>
      <c r="K18" s="628"/>
      <c r="L18" s="681"/>
      <c r="M18" s="681"/>
      <c r="N18" s="681"/>
      <c r="O18" s="681"/>
      <c r="P18" s="681"/>
      <c r="Q18" s="681"/>
    </row>
    <row r="19" spans="2:17">
      <c r="C19" s="235" t="s">
        <v>350</v>
      </c>
      <c r="D19" s="236"/>
      <c r="E19" s="237">
        <f t="shared" ref="E19:G19" si="4">+SUM(E9:E18)</f>
        <v>759.04718527244495</v>
      </c>
      <c r="F19" s="237">
        <f t="shared" si="4"/>
        <v>95.865462367150641</v>
      </c>
      <c r="G19" s="237">
        <f t="shared" si="4"/>
        <v>854.91264763959543</v>
      </c>
      <c r="H19" s="238">
        <f>+SUM(H9:H18)</f>
        <v>854.91264763959543</v>
      </c>
      <c r="I19" s="68"/>
    </row>
    <row r="20" spans="2:17">
      <c r="B20" s="9"/>
      <c r="C20" s="10"/>
      <c r="D20" s="10"/>
      <c r="E20" s="10"/>
      <c r="F20" s="10"/>
      <c r="G20" s="10"/>
      <c r="H20" s="10"/>
      <c r="I20" s="23"/>
    </row>
    <row r="22" spans="2:17">
      <c r="C22" s="2" t="s">
        <v>365</v>
      </c>
      <c r="E22" s="2">
        <v>732.4</v>
      </c>
      <c r="F22" s="2">
        <v>92.5</v>
      </c>
      <c r="G22" s="2">
        <f>+F22+E22</f>
        <v>824.9</v>
      </c>
    </row>
    <row r="23" spans="2:17" ht="15.75" thickBot="1">
      <c r="C23" s="2" t="s">
        <v>366</v>
      </c>
      <c r="E23" s="648">
        <f>E22/SUM($E$22:$F$22)</f>
        <v>0.88786519578130685</v>
      </c>
      <c r="F23" s="648">
        <f>F22/SUM($E$22:$F$22)</f>
        <v>0.11213480421869318</v>
      </c>
      <c r="G23" s="648">
        <f>G22/SUM($E$22:$F$22)</f>
        <v>1</v>
      </c>
    </row>
    <row r="24" spans="2:17" ht="15.75" thickTop="1">
      <c r="C24" s="2" t="s">
        <v>367</v>
      </c>
    </row>
    <row r="25" spans="2:17">
      <c r="C25" s="2" t="s">
        <v>368</v>
      </c>
    </row>
    <row r="26" spans="2:17">
      <c r="C26" s="2" t="s">
        <v>369</v>
      </c>
    </row>
    <row r="27" spans="2:17">
      <c r="C27" s="2" t="s">
        <v>370</v>
      </c>
    </row>
  </sheetData>
  <mergeCells count="2">
    <mergeCell ref="B2:I2"/>
    <mergeCell ref="B3:I3"/>
  </mergeCells>
  <hyperlinks>
    <hyperlink ref="B2" location="Contents!A1" display="The HVAC transmission revenue received for the pricing year" xr:uid="{DE4726C2-88A8-4758-9EA1-580B5FD2370C}"/>
    <hyperlink ref="B3" location="Contents!A1" display="The HVDC transmission revenue received for the pricing year" xr:uid="{E51BD234-80A9-4756-95A1-457205C45C6C}"/>
  </hyperlinks>
  <pageMargins left="0.70866141732283472" right="0.70866141732283472" top="0.74803149606299213" bottom="0.74803149606299213" header="0.31496062992125984" footer="0.31496062992125984"/>
  <pageSetup paperSize="9" scale="75" orientation="portrait" r:id="rId1"/>
  <headerFooter>
    <oddFooter>&amp;L&amp;F&amp;C&amp;D&amp;RSheet &amp;A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8C144-E17F-442F-8F7A-98B5A616B4FE}">
  <sheetPr codeName="Sheet9">
    <tabColor rgb="FF92D050"/>
    <pageSetUpPr fitToPage="1"/>
  </sheetPr>
  <dimension ref="B2:N20"/>
  <sheetViews>
    <sheetView view="pageBreakPreview" zoomScale="70" zoomScaleNormal="100" zoomScaleSheetLayoutView="70" workbookViewId="0"/>
  </sheetViews>
  <sheetFormatPr defaultColWidth="9.140625" defaultRowHeight="15"/>
  <cols>
    <col min="1" max="1" width="9.140625" style="2"/>
    <col min="2" max="2" width="23.5703125" style="2" customWidth="1"/>
    <col min="3" max="3" width="58.42578125" style="2" customWidth="1"/>
    <col min="4" max="4" width="55.85546875" style="2" customWidth="1"/>
    <col min="5" max="5" width="14.140625" style="2" customWidth="1"/>
    <col min="6" max="6" width="9.28515625" style="2" customWidth="1"/>
    <col min="7" max="12" width="9.140625" style="2"/>
    <col min="13" max="13" width="17.85546875" style="2" bestFit="1" customWidth="1"/>
    <col min="14" max="16384" width="9.140625" style="2"/>
  </cols>
  <sheetData>
    <row r="2" spans="2:14" ht="18.75">
      <c r="B2" s="742" t="s">
        <v>371</v>
      </c>
      <c r="C2" s="743"/>
      <c r="D2" s="743"/>
      <c r="E2" s="743"/>
      <c r="F2" s="743"/>
      <c r="G2" s="743"/>
      <c r="H2" s="743"/>
      <c r="I2" s="743"/>
      <c r="J2" s="749"/>
    </row>
    <row r="3" spans="2:14">
      <c r="B3" s="6" t="s">
        <v>28</v>
      </c>
      <c r="D3" s="520" t="s">
        <v>372</v>
      </c>
      <c r="J3" s="7"/>
    </row>
    <row r="4" spans="2:14">
      <c r="B4" s="6" t="s">
        <v>373</v>
      </c>
      <c r="D4" s="520" t="s">
        <v>374</v>
      </c>
      <c r="J4" s="7"/>
    </row>
    <row r="5" spans="2:14">
      <c r="B5" s="6"/>
      <c r="J5" s="7"/>
    </row>
    <row r="6" spans="2:14">
      <c r="B6" s="24" t="s">
        <v>375</v>
      </c>
      <c r="J6" s="7"/>
    </row>
    <row r="7" spans="2:14">
      <c r="B7" s="6"/>
      <c r="C7" s="136" t="s">
        <v>167</v>
      </c>
      <c r="J7" s="7"/>
    </row>
    <row r="8" spans="2:14" ht="30">
      <c r="B8" s="24"/>
      <c r="C8" s="30" t="s">
        <v>376</v>
      </c>
      <c r="D8" s="61" t="s">
        <v>377</v>
      </c>
      <c r="E8" s="30" t="s">
        <v>378</v>
      </c>
      <c r="F8" s="232" t="s">
        <v>354</v>
      </c>
      <c r="G8" s="31" t="s">
        <v>379</v>
      </c>
      <c r="H8" s="31" t="s">
        <v>347</v>
      </c>
      <c r="I8" s="52" t="s">
        <v>380</v>
      </c>
      <c r="J8" s="7"/>
      <c r="N8" s="546"/>
    </row>
    <row r="9" spans="2:14">
      <c r="B9" s="33" t="s">
        <v>381</v>
      </c>
      <c r="C9" s="34" t="s">
        <v>179</v>
      </c>
      <c r="D9" s="62" t="s">
        <v>182</v>
      </c>
      <c r="E9" s="34" t="s">
        <v>180</v>
      </c>
      <c r="F9" s="217"/>
      <c r="G9" s="35"/>
      <c r="H9" s="35"/>
      <c r="I9" s="53"/>
      <c r="J9" s="7"/>
    </row>
    <row r="10" spans="2:14" ht="28.5" customHeight="1">
      <c r="B10" s="6"/>
      <c r="C10" s="39" t="s">
        <v>382</v>
      </c>
      <c r="D10" s="224" t="s">
        <v>383</v>
      </c>
      <c r="E10" s="39" t="s">
        <v>384</v>
      </c>
      <c r="F10" s="275"/>
      <c r="G10" s="370">
        <f>+'8'!K10</f>
        <v>-95.373972649789764</v>
      </c>
      <c r="H10" s="370">
        <f>+'8'!K20</f>
        <v>-10.340923977643047</v>
      </c>
      <c r="I10" s="260">
        <f>+G10+H10</f>
        <v>-105.71489662743281</v>
      </c>
      <c r="J10" s="7"/>
      <c r="M10" s="501"/>
    </row>
    <row r="11" spans="2:14">
      <c r="B11" s="6"/>
      <c r="C11" s="226" t="s">
        <v>385</v>
      </c>
      <c r="D11" s="225" t="s">
        <v>386</v>
      </c>
      <c r="E11" s="226" t="s">
        <v>188</v>
      </c>
      <c r="F11" s="577">
        <v>4.2299999999999997E-2</v>
      </c>
      <c r="G11" s="251"/>
      <c r="H11" s="251"/>
      <c r="I11" s="308"/>
      <c r="J11" s="7"/>
    </row>
    <row r="12" spans="2:14" ht="28.5" customHeight="1">
      <c r="B12" s="6"/>
      <c r="C12" s="39" t="s">
        <v>387</v>
      </c>
      <c r="D12" s="224" t="s">
        <v>388</v>
      </c>
      <c r="E12" s="39" t="s">
        <v>389</v>
      </c>
      <c r="F12" s="275"/>
      <c r="G12" s="249">
        <f>+G10*$F$11</f>
        <v>-4.0343190430861071</v>
      </c>
      <c r="H12" s="249">
        <f>+H10*$F$11</f>
        <v>-0.43742108425430087</v>
      </c>
      <c r="I12" s="260">
        <f t="shared" ref="I12:I15" si="0">+G12+H12</f>
        <v>-4.471740127340408</v>
      </c>
      <c r="J12" s="7"/>
    </row>
    <row r="13" spans="2:14" ht="30">
      <c r="B13" s="6"/>
      <c r="C13" s="226" t="s">
        <v>390</v>
      </c>
      <c r="D13" s="225" t="s">
        <v>391</v>
      </c>
      <c r="E13" s="226" t="s">
        <v>227</v>
      </c>
      <c r="F13" s="276"/>
      <c r="G13" s="701">
        <f>+'16'!F20</f>
        <v>4.1380980221833283</v>
      </c>
      <c r="H13" s="701">
        <f>+'16'!G20</f>
        <v>7.5753822188456947</v>
      </c>
      <c r="I13" s="259">
        <f t="shared" si="0"/>
        <v>11.713480241029023</v>
      </c>
      <c r="J13" s="7"/>
    </row>
    <row r="14" spans="2:14" ht="43.5" customHeight="1">
      <c r="B14" s="6"/>
      <c r="C14" s="233" t="s">
        <v>392</v>
      </c>
      <c r="D14" s="224" t="s">
        <v>393</v>
      </c>
      <c r="E14" s="39" t="s">
        <v>230</v>
      </c>
      <c r="F14" s="277"/>
      <c r="G14" s="370">
        <f>+'8'!K14</f>
        <v>17.5119279865858</v>
      </c>
      <c r="H14" s="370">
        <f>+'8'!K24</f>
        <v>0.457962069168174</v>
      </c>
      <c r="I14" s="260">
        <f t="shared" si="0"/>
        <v>17.969890055753975</v>
      </c>
      <c r="J14" s="7"/>
    </row>
    <row r="15" spans="2:14" ht="23.25" customHeight="1">
      <c r="B15" s="6"/>
      <c r="C15" s="235" t="s">
        <v>394</v>
      </c>
      <c r="D15" s="245"/>
      <c r="E15" s="235" t="s">
        <v>395</v>
      </c>
      <c r="F15" s="239"/>
      <c r="G15" s="237">
        <f>+SUM(G10:G13)-G14</f>
        <v>-112.78212165727835</v>
      </c>
      <c r="H15" s="237">
        <f>+SUM(H10:H13)-H14</f>
        <v>-3.6609249122198269</v>
      </c>
      <c r="I15" s="261">
        <f t="shared" si="0"/>
        <v>-116.44304656949818</v>
      </c>
      <c r="J15" s="7"/>
    </row>
    <row r="16" spans="2:14">
      <c r="B16" s="6"/>
      <c r="J16" s="7"/>
    </row>
    <row r="17" spans="2:12" ht="38.25" customHeight="1">
      <c r="B17" s="736" t="s">
        <v>396</v>
      </c>
      <c r="C17" s="762"/>
      <c r="D17" s="762"/>
      <c r="E17" s="762"/>
      <c r="F17" s="762"/>
      <c r="G17" s="762"/>
      <c r="H17" s="762"/>
      <c r="I17" s="762"/>
      <c r="J17" s="7"/>
    </row>
    <row r="18" spans="2:12" ht="23.25" customHeight="1">
      <c r="B18" s="607" t="s">
        <v>39</v>
      </c>
      <c r="J18" s="7"/>
      <c r="L18" s="2" t="s">
        <v>397</v>
      </c>
    </row>
    <row r="19" spans="2:12" ht="63" customHeight="1">
      <c r="B19" s="6"/>
      <c r="C19" s="763" t="s">
        <v>398</v>
      </c>
      <c r="D19" s="764"/>
      <c r="E19" s="764"/>
      <c r="F19" s="764"/>
      <c r="G19" s="764"/>
      <c r="H19" s="764"/>
      <c r="I19" s="765"/>
      <c r="J19" s="7"/>
      <c r="L19" s="2" t="s">
        <v>399</v>
      </c>
    </row>
    <row r="20" spans="2:12">
      <c r="B20" s="9"/>
      <c r="C20" s="10"/>
      <c r="D20" s="10"/>
      <c r="E20" s="10"/>
      <c r="F20" s="10"/>
      <c r="G20" s="10"/>
      <c r="H20" s="10"/>
      <c r="I20" s="10"/>
      <c r="J20" s="23"/>
    </row>
  </sheetData>
  <mergeCells count="3">
    <mergeCell ref="B17:I17"/>
    <mergeCell ref="C19:I19"/>
    <mergeCell ref="B2:J2"/>
  </mergeCells>
  <hyperlinks>
    <hyperlink ref="B2" location="Contents!A1" display="An updated summary of the EV account as set out in Schedule B" xr:uid="{C768E8AB-8893-4014-BA58-E9931C923776}"/>
    <hyperlink ref="B17:I17" location="Contents!A1" display="A description of the adjustment to the EV account from a normalisation event, where a normalisation event is excluded from a calculation made for a revenue-linked grid output measure" xr:uid="{FD8DDC66-B288-4311-A374-3CF29EA06A45}"/>
  </hyperlinks>
  <pageMargins left="0.70866141732283472" right="0.70866141732283472" top="0.74803149606299213" bottom="0.74803149606299213" header="0.31496062992125984" footer="0.31496062992125984"/>
  <pageSetup paperSize="9" scale="66" orientation="landscape" r:id="rId1"/>
  <headerFooter>
    <oddFooter>&amp;L&amp;F&amp;C&amp;D&amp;RSheet: &amp;A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26</vt:i4>
      </vt:variant>
      <vt:variant>
        <vt:lpstr>Named Ranges</vt:lpstr>
      </vt:variant>
      <vt:variant>
        <vt:i4>25</vt:i4>
      </vt:variant>
    </vt:vector>
  </HeadingPairs>
  <TitlesOfParts>
    <vt:vector size="51" baseType="lpstr">
      <vt:lpstr>Cover</vt: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2(a)</vt:lpstr>
      <vt:lpstr>'1'!Print_Area</vt:lpstr>
      <vt:lpstr>'10'!Print_Area</vt:lpstr>
      <vt:lpstr>'11'!Print_Area</vt:lpstr>
      <vt:lpstr>'12'!Print_Area</vt:lpstr>
      <vt:lpstr>'13'!Print_Area</vt:lpstr>
      <vt:lpstr>'14'!Print_Area</vt:lpstr>
      <vt:lpstr>'15'!Print_Area</vt:lpstr>
      <vt:lpstr>'17'!Print_Area</vt:lpstr>
      <vt:lpstr>'18'!Print_Area</vt:lpstr>
      <vt:lpstr>'19'!Print_Area</vt:lpstr>
      <vt:lpstr>'2'!Print_Area</vt:lpstr>
      <vt:lpstr>'2(a)'!Print_Area</vt:lpstr>
      <vt:lpstr>'20'!Print_Area</vt:lpstr>
      <vt:lpstr>'21'!Print_Area</vt:lpstr>
      <vt:lpstr>'22'!Print_Area</vt:lpstr>
      <vt:lpstr>'23'!Print_Area</vt:lpstr>
      <vt:lpstr>'3'!Print_Area</vt:lpstr>
      <vt:lpstr>'4'!Print_Area</vt:lpstr>
      <vt:lpstr>'5'!Print_Area</vt:lpstr>
      <vt:lpstr>'6'!Print_Area</vt:lpstr>
      <vt:lpstr>'7'!Print_Area</vt:lpstr>
      <vt:lpstr>'8'!Print_Area</vt:lpstr>
      <vt:lpstr>'9'!Print_Area</vt:lpstr>
      <vt:lpstr>Contents!Print_Area</vt:lpstr>
      <vt:lpstr>Cover!Print_Area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2025-10-21T03:03:48Z</dcterms:created>
  <dcterms:modified xsi:type="dcterms:W3CDTF">2025-10-21T03:04:10Z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2025-10-21T03:04:10Z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40aa2003-5a16-4854-a39f-04e983c89a34</vt:lpwstr>
  </property>
  <property fmtid="{D5CDD505-2E9C-101B-9397-08002B2CF9AE}" pid="8" name="MSIP_Label_ec504e64-2eb9-4143-98d1-ab3085e5d939_ContentBits">
    <vt:lpwstr>0</vt:lpwstr>
  </property>
  <property fmtid="{D5CDD505-2E9C-101B-9397-08002B2CF9AE}" pid="9" name="MSIP_Label_ec504e64-2eb9-4143-98d1-ab3085e5d939_Tag">
    <vt:lpwstr>10, 3, 0, 1</vt:lpwstr>
  </property>
</Properties>
</file>